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610" windowHeight="7170" activeTab="0"/>
  </bookViews>
  <sheets>
    <sheet name="Invulblad" sheetId="1" r:id="rId1"/>
  </sheets>
  <definedNames>
    <definedName name="_xlnm.Print_Area" localSheetId="0">'Invulblad'!$A$1:$AB$37</definedName>
  </definedNames>
  <calcPr fullCalcOnLoad="1"/>
</workbook>
</file>

<file path=xl/comments1.xml><?xml version="1.0" encoding="utf-8"?>
<comments xmlns="http://schemas.openxmlformats.org/spreadsheetml/2006/main">
  <authors>
    <author> Eric Mooiweer</author>
    <author>Eric Mooiweer</author>
  </authors>
  <commentList>
    <comment ref="L12" authorId="0">
      <text>
        <r>
          <rPr>
            <b/>
            <sz val="9"/>
            <rFont val="Verdana"/>
            <family val="2"/>
          </rPr>
          <t>A = Availability, ofwel beschikbaarheid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9"/>
            <rFont val="Verdana"/>
            <family val="2"/>
          </rPr>
          <t>P = Performance, ofwel Prestatie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9"/>
            <rFont val="Verdana"/>
            <family val="2"/>
          </rPr>
          <t>Q = Quality, ofwel Kwaliteit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9"/>
            <rFont val="Verdana"/>
            <family val="2"/>
          </rPr>
          <t>OEE = Overall Equipment Effectiveness, ofwel Effectief gebruik van de lijn, plant</t>
        </r>
      </text>
    </comment>
    <comment ref="P12" authorId="0">
      <text>
        <r>
          <rPr>
            <b/>
            <sz val="9"/>
            <rFont val="Verdana"/>
            <family val="2"/>
          </rPr>
          <t>Prod. = Productivity, ofwel Productiviteit. Het efficent inzetten van mensen</t>
        </r>
      </text>
    </comment>
    <comment ref="C35" authorId="1">
      <text>
        <r>
          <rPr>
            <b/>
            <sz val="9"/>
            <rFont val="Verdana"/>
            <family val="2"/>
          </rPr>
          <t>Compensatie dient op 0 te staan, anders kunnen er onverwachte resultaten optreden.</t>
        </r>
      </text>
    </comment>
  </commentList>
</comments>
</file>

<file path=xl/sharedStrings.xml><?xml version="1.0" encoding="utf-8"?>
<sst xmlns="http://schemas.openxmlformats.org/spreadsheetml/2006/main" count="96" uniqueCount="82">
  <si>
    <t>Plan</t>
  </si>
  <si>
    <t>Actueel</t>
  </si>
  <si>
    <t>A1</t>
  </si>
  <si>
    <t>A</t>
  </si>
  <si>
    <t>Q</t>
  </si>
  <si>
    <t>OEE</t>
  </si>
  <si>
    <t>A2</t>
  </si>
  <si>
    <t>P1</t>
  </si>
  <si>
    <t>P2</t>
  </si>
  <si>
    <t>Q1</t>
  </si>
  <si>
    <t>Q2</t>
  </si>
  <si>
    <t>Cat.</t>
  </si>
  <si>
    <t>P</t>
  </si>
  <si>
    <t>World Class</t>
  </si>
  <si>
    <t>Prod.</t>
  </si>
  <si>
    <t>Machine</t>
  </si>
  <si>
    <t>€</t>
  </si>
  <si>
    <t>%</t>
  </si>
  <si>
    <t>Totaal</t>
  </si>
  <si>
    <t>Overhead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</si>
  <si>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</si>
  <si>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</si>
  <si>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</si>
  <si>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</si>
  <si>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</si>
  <si>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</si>
  <si>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</si>
  <si>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</si>
  <si>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UOM</t>
  </si>
  <si>
    <t>€ / UOM</t>
  </si>
  <si>
    <t>Kg</t>
  </si>
  <si>
    <t>Stuks</t>
  </si>
  <si>
    <t>BOM</t>
  </si>
  <si>
    <t>Yield %</t>
  </si>
  <si>
    <t>Standard
Cost Price €</t>
  </si>
  <si>
    <t>Potential Cost Price €</t>
  </si>
  <si>
    <t>Actual
Cost Price €</t>
  </si>
  <si>
    <t>Index</t>
  </si>
  <si>
    <t>d12</t>
  </si>
  <si>
    <t>Delta Actual</t>
  </si>
  <si>
    <t>Delta Standard</t>
  </si>
  <si>
    <t>1234, tray @ 24 bottles abc, @ 250ml</t>
  </si>
  <si>
    <t>Actual in Min</t>
  </si>
  <si>
    <t>Line</t>
  </si>
  <si>
    <t>Date Start</t>
  </si>
  <si>
    <t>Date Eind</t>
  </si>
  <si>
    <t>Time Start</t>
  </si>
  <si>
    <t>Time Eind</t>
  </si>
  <si>
    <t>Time</t>
  </si>
  <si>
    <t>Duration</t>
  </si>
  <si>
    <t>No. pcs OK</t>
  </si>
  <si>
    <t>No. pcs Rework</t>
  </si>
  <si>
    <t>No. pcs Scrap</t>
  </si>
  <si>
    <t>No. FTE</t>
  </si>
  <si>
    <t>No.</t>
  </si>
  <si>
    <t>Speed in pcs / Min</t>
  </si>
  <si>
    <t>Technical Breakdown</t>
  </si>
  <si>
    <t>Change Over</t>
  </si>
  <si>
    <t>Reduced Running Speed</t>
  </si>
  <si>
    <t>Short Stops</t>
  </si>
  <si>
    <t>Start up</t>
  </si>
  <si>
    <t>Quality non-conformance</t>
  </si>
  <si>
    <t>Subtotal Time</t>
  </si>
  <si>
    <t>Back to website</t>
  </si>
  <si>
    <t>Improvement potential</t>
  </si>
  <si>
    <t>Performance Calculation</t>
  </si>
  <si>
    <t>Machine Cost / Hr</t>
  </si>
  <si>
    <t>Employee Cost / Hr</t>
  </si>
  <si>
    <t>Raw Materials</t>
  </si>
  <si>
    <t>Labour</t>
  </si>
  <si>
    <t>Annual Volume</t>
  </si>
  <si>
    <t>Annual Savings Potential</t>
  </si>
  <si>
    <r>
      <t>D</t>
    </r>
    <r>
      <rPr>
        <b/>
        <sz val="10"/>
        <rFont val="Verdana"/>
        <family val="2"/>
      </rPr>
      <t>% Actual vs. World Class</t>
    </r>
  </si>
  <si>
    <t>Savings
€</t>
  </si>
  <si>
    <t>BOM Loss %</t>
  </si>
  <si>
    <t>Actual</t>
  </si>
  <si>
    <t>Act. Loss %</t>
  </si>
  <si>
    <t>Material Yield %</t>
  </si>
  <si>
    <t>Costprice build-up &amp; comparison</t>
  </si>
  <si>
    <t>Item</t>
  </si>
  <si>
    <t>Activities</t>
  </si>
  <si>
    <t>Compensation Value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</si>
</sst>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"/>
    <numFmt numFmtId="192" formatCode="[h]:mm"/>
    <numFmt numFmtId="193" formatCode="mmm\-yyyy"/>
    <numFmt numFmtId="194" formatCode="0.0000%"/>
    <numFmt numFmtId="195" formatCode="0.000"/>
    <numFmt numFmtId="196" formatCode="0.0000"/>
    <numFmt numFmtId="197" formatCode="0.0"/>
    <numFmt numFmtId="198" formatCode="0.0000000"/>
    <numFmt numFmtId="199" formatCode="0.000000"/>
    <numFmt numFmtId="200" formatCode="0.00000"/>
    <numFmt numFmtId="201" formatCode="#,##0.0000"/>
    <numFmt numFmtId="202" formatCode="#,##0.000"/>
    <numFmt numFmtId="203" formatCode="[hh]:mm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0"/>
    </font>
    <font>
      <b/>
      <sz val="9"/>
      <name val="Verdana"/>
      <family val="2"/>
    </font>
    <font>
      <sz val="8"/>
      <name val="Verdana"/>
      <family val="0"/>
    </font>
    <font>
      <b/>
      <sz val="12"/>
      <name val="Symbol"/>
      <family val="1"/>
    </font>
    <font>
      <b/>
      <i/>
      <sz val="11"/>
      <color indexed="12"/>
      <name val="Verdana"/>
      <family val="2"/>
    </font>
    <font>
      <b/>
      <sz val="18"/>
      <name val="Verdana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48"/>
      <name val="Verdana"/>
      <family val="2"/>
    </font>
    <font>
      <sz val="10"/>
      <color indexed="9"/>
      <name val="Verdana"/>
      <family val="2"/>
    </font>
    <font>
      <b/>
      <sz val="6"/>
      <name val="Verdan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>
        <color indexed="63"/>
      </left>
      <right style="double"/>
      <top style="double"/>
      <bottom style="thin">
        <color indexed="9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double"/>
      <top style="thin">
        <color indexed="9"/>
      </top>
      <bottom style="double"/>
    </border>
    <border>
      <left style="thin">
        <color indexed="9"/>
      </left>
      <right style="double"/>
      <top style="double"/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double"/>
    </border>
    <border>
      <left style="double"/>
      <right style="thin">
        <color indexed="9"/>
      </right>
      <top style="double"/>
      <bottom style="thin">
        <color indexed="9"/>
      </bottom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1" fillId="20" borderId="18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20" borderId="2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1" fillId="20" borderId="29" xfId="0" applyFont="1" applyFill="1" applyBorder="1" applyAlignment="1">
      <alignment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28" xfId="0" applyFont="1" applyBorder="1" applyAlignment="1">
      <alignment/>
    </xf>
    <xf numFmtId="0" fontId="20" fillId="20" borderId="18" xfId="0" applyFont="1" applyFill="1" applyBorder="1" applyAlignment="1">
      <alignment/>
    </xf>
    <xf numFmtId="0" fontId="20" fillId="20" borderId="18" xfId="0" applyFont="1" applyFill="1" applyBorder="1" applyAlignment="1">
      <alignment vertical="center"/>
    </xf>
    <xf numFmtId="0" fontId="20" fillId="20" borderId="27" xfId="0" applyFont="1" applyFill="1" applyBorder="1" applyAlignment="1">
      <alignment vertical="center"/>
    </xf>
    <xf numFmtId="0" fontId="21" fillId="20" borderId="33" xfId="0" applyFont="1" applyFill="1" applyBorder="1" applyAlignment="1">
      <alignment horizontal="center" vertical="center" wrapText="1"/>
    </xf>
    <xf numFmtId="0" fontId="21" fillId="20" borderId="34" xfId="0" applyFont="1" applyFill="1" applyBorder="1" applyAlignment="1">
      <alignment horizontal="center" vertical="center" wrapText="1"/>
    </xf>
    <xf numFmtId="0" fontId="21" fillId="20" borderId="35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/>
    </xf>
    <xf numFmtId="0" fontId="21" fillId="20" borderId="36" xfId="0" applyFont="1" applyFill="1" applyBorder="1" applyAlignment="1">
      <alignment horizontal="center" vertical="center"/>
    </xf>
    <xf numFmtId="0" fontId="21" fillId="20" borderId="37" xfId="0" applyFont="1" applyFill="1" applyBorder="1" applyAlignment="1">
      <alignment horizontal="center" vertical="center"/>
    </xf>
    <xf numFmtId="0" fontId="21" fillId="20" borderId="38" xfId="0" applyFont="1" applyFill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2" fillId="20" borderId="33" xfId="0" applyFont="1" applyFill="1" applyBorder="1" applyAlignment="1">
      <alignment wrapText="1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9" fontId="20" fillId="0" borderId="35" xfId="59" applyFont="1" applyBorder="1" applyAlignment="1">
      <alignment/>
    </xf>
    <xf numFmtId="0" fontId="22" fillId="20" borderId="35" xfId="0" applyFont="1" applyFill="1" applyBorder="1" applyAlignment="1">
      <alignment horizontal="center" wrapText="1"/>
    </xf>
    <xf numFmtId="0" fontId="22" fillId="20" borderId="35" xfId="0" applyFont="1" applyFill="1" applyBorder="1" applyAlignment="1">
      <alignment horizontal="left" wrapText="1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3" fillId="20" borderId="36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right" wrapText="1"/>
    </xf>
    <xf numFmtId="0" fontId="20" fillId="0" borderId="50" xfId="0" applyFont="1" applyBorder="1" applyAlignment="1">
      <alignment/>
    </xf>
    <xf numFmtId="0" fontId="28" fillId="20" borderId="28" xfId="0" applyFont="1" applyFill="1" applyBorder="1" applyAlignment="1">
      <alignment horizontal="center" wrapText="1"/>
    </xf>
    <xf numFmtId="0" fontId="22" fillId="0" borderId="18" xfId="0" applyFont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26" xfId="0" applyFont="1" applyFill="1" applyBorder="1" applyAlignment="1">
      <alignment/>
    </xf>
    <xf numFmtId="0" fontId="22" fillId="24" borderId="26" xfId="0" applyFont="1" applyFill="1" applyBorder="1" applyAlignment="1">
      <alignment wrapText="1"/>
    </xf>
    <xf numFmtId="0" fontId="20" fillId="24" borderId="19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0" fillId="22" borderId="14" xfId="0" applyFont="1" applyFill="1" applyBorder="1" applyAlignment="1" applyProtection="1">
      <alignment horizontal="right"/>
      <protection hidden="1" locked="0"/>
    </xf>
    <xf numFmtId="0" fontId="20" fillId="22" borderId="20" xfId="0" applyFont="1" applyFill="1" applyBorder="1" applyAlignment="1" applyProtection="1">
      <alignment horizontal="right"/>
      <protection hidden="1" locked="0"/>
    </xf>
    <xf numFmtId="14" fontId="20" fillId="22" borderId="15" xfId="0" applyNumberFormat="1" applyFont="1" applyFill="1" applyBorder="1" applyAlignment="1" applyProtection="1">
      <alignment horizontal="right"/>
      <protection hidden="1" locked="0"/>
    </xf>
    <xf numFmtId="14" fontId="20" fillId="22" borderId="21" xfId="0" applyNumberFormat="1" applyFont="1" applyFill="1" applyBorder="1" applyAlignment="1" applyProtection="1">
      <alignment horizontal="right"/>
      <protection hidden="1" locked="0"/>
    </xf>
    <xf numFmtId="20" fontId="20" fillId="22" borderId="15" xfId="0" applyNumberFormat="1" applyFont="1" applyFill="1" applyBorder="1" applyAlignment="1" applyProtection="1">
      <alignment horizontal="right"/>
      <protection hidden="1" locked="0"/>
    </xf>
    <xf numFmtId="20" fontId="20" fillId="22" borderId="21" xfId="0" applyNumberFormat="1" applyFont="1" applyFill="1" applyBorder="1" applyAlignment="1" applyProtection="1">
      <alignment horizontal="right"/>
      <protection hidden="1" locked="0"/>
    </xf>
    <xf numFmtId="0" fontId="20" fillId="22" borderId="15" xfId="0" applyFont="1" applyFill="1" applyBorder="1" applyAlignment="1" applyProtection="1">
      <alignment horizontal="right"/>
      <protection hidden="1" locked="0"/>
    </xf>
    <xf numFmtId="0" fontId="20" fillId="22" borderId="21" xfId="0" applyFont="1" applyFill="1" applyBorder="1" applyAlignment="1" applyProtection="1">
      <alignment horizontal="right"/>
      <protection hidden="1" locked="0"/>
    </xf>
    <xf numFmtId="3" fontId="20" fillId="22" borderId="15" xfId="0" applyNumberFormat="1" applyFont="1" applyFill="1" applyBorder="1" applyAlignment="1" applyProtection="1">
      <alignment horizontal="right"/>
      <protection hidden="1" locked="0"/>
    </xf>
    <xf numFmtId="3" fontId="20" fillId="22" borderId="21" xfId="0" applyNumberFormat="1" applyFont="1" applyFill="1" applyBorder="1" applyAlignment="1" applyProtection="1">
      <alignment horizontal="right"/>
      <protection hidden="1" locked="0"/>
    </xf>
    <xf numFmtId="0" fontId="20" fillId="22" borderId="16" xfId="0" applyFont="1" applyFill="1" applyBorder="1" applyAlignment="1" applyProtection="1">
      <alignment horizontal="right"/>
      <protection hidden="1" locked="0"/>
    </xf>
    <xf numFmtId="0" fontId="20" fillId="22" borderId="22" xfId="0" applyFont="1" applyFill="1" applyBorder="1" applyAlignment="1" applyProtection="1">
      <alignment horizontal="right"/>
      <protection hidden="1" locked="0"/>
    </xf>
    <xf numFmtId="0" fontId="20" fillId="22" borderId="23" xfId="0" applyFont="1" applyFill="1" applyBorder="1" applyAlignment="1" applyProtection="1">
      <alignment horizontal="center"/>
      <protection hidden="1" locked="0"/>
    </xf>
    <xf numFmtId="0" fontId="20" fillId="22" borderId="24" xfId="0" applyFont="1" applyFill="1" applyBorder="1" applyAlignment="1" applyProtection="1">
      <alignment horizontal="center"/>
      <protection hidden="1" locked="0"/>
    </xf>
    <xf numFmtId="186" fontId="20" fillId="22" borderId="32" xfId="0" applyNumberFormat="1" applyFont="1" applyFill="1" applyBorder="1" applyAlignment="1" applyProtection="1">
      <alignment/>
      <protection hidden="1" locked="0"/>
    </xf>
    <xf numFmtId="0" fontId="20" fillId="22" borderId="51" xfId="0" applyFont="1" applyFill="1" applyBorder="1" applyAlignment="1" applyProtection="1">
      <alignment/>
      <protection hidden="1" locked="0"/>
    </xf>
    <xf numFmtId="0" fontId="20" fillId="22" borderId="52" xfId="0" applyFont="1" applyFill="1" applyBorder="1" applyAlignment="1" applyProtection="1">
      <alignment/>
      <protection hidden="1" locked="0"/>
    </xf>
    <xf numFmtId="196" fontId="20" fillId="22" borderId="52" xfId="0" applyNumberFormat="1" applyFont="1" applyFill="1" applyBorder="1" applyAlignment="1" applyProtection="1">
      <alignment/>
      <protection hidden="1" locked="0"/>
    </xf>
    <xf numFmtId="186" fontId="20" fillId="22" borderId="52" xfId="59" applyNumberFormat="1" applyFont="1" applyFill="1" applyBorder="1" applyAlignment="1" applyProtection="1">
      <alignment/>
      <protection hidden="1" locked="0"/>
    </xf>
    <xf numFmtId="0" fontId="20" fillId="22" borderId="53" xfId="0" applyFont="1" applyFill="1" applyBorder="1" applyAlignment="1" applyProtection="1">
      <alignment/>
      <protection hidden="1" locked="0"/>
    </xf>
    <xf numFmtId="0" fontId="20" fillId="22" borderId="54" xfId="0" applyFont="1" applyFill="1" applyBorder="1" applyAlignment="1" applyProtection="1">
      <alignment/>
      <protection hidden="1" locked="0"/>
    </xf>
    <xf numFmtId="196" fontId="20" fillId="22" borderId="54" xfId="0" applyNumberFormat="1" applyFont="1" applyFill="1" applyBorder="1" applyAlignment="1" applyProtection="1">
      <alignment/>
      <protection hidden="1" locked="0"/>
    </xf>
    <xf numFmtId="186" fontId="20" fillId="22" borderId="54" xfId="59" applyNumberFormat="1" applyFont="1" applyFill="1" applyBorder="1" applyAlignment="1" applyProtection="1">
      <alignment/>
      <protection hidden="1" locked="0"/>
    </xf>
    <xf numFmtId="0" fontId="20" fillId="22" borderId="55" xfId="0" applyFont="1" applyFill="1" applyBorder="1" applyAlignment="1" applyProtection="1">
      <alignment/>
      <protection hidden="1" locked="0"/>
    </xf>
    <xf numFmtId="0" fontId="20" fillId="22" borderId="56" xfId="0" applyFont="1" applyFill="1" applyBorder="1" applyAlignment="1" applyProtection="1">
      <alignment/>
      <protection hidden="1" locked="0"/>
    </xf>
    <xf numFmtId="196" fontId="20" fillId="22" borderId="56" xfId="0" applyNumberFormat="1" applyFont="1" applyFill="1" applyBorder="1" applyAlignment="1" applyProtection="1">
      <alignment/>
      <protection hidden="1" locked="0"/>
    </xf>
    <xf numFmtId="186" fontId="20" fillId="22" borderId="56" xfId="59" applyNumberFormat="1" applyFont="1" applyFill="1" applyBorder="1" applyAlignment="1" applyProtection="1">
      <alignment/>
      <protection hidden="1" locked="0"/>
    </xf>
    <xf numFmtId="4" fontId="20" fillId="22" borderId="52" xfId="0" applyNumberFormat="1" applyFont="1" applyFill="1" applyBorder="1" applyAlignment="1" applyProtection="1">
      <alignment/>
      <protection hidden="1" locked="0"/>
    </xf>
    <xf numFmtId="4" fontId="20" fillId="22" borderId="54" xfId="0" applyNumberFormat="1" applyFont="1" applyFill="1" applyBorder="1" applyAlignment="1" applyProtection="1">
      <alignment/>
      <protection hidden="1" locked="0"/>
    </xf>
    <xf numFmtId="4" fontId="20" fillId="22" borderId="56" xfId="0" applyNumberFormat="1" applyFont="1" applyFill="1" applyBorder="1" applyAlignment="1" applyProtection="1">
      <alignment/>
      <protection hidden="1" locked="0"/>
    </xf>
    <xf numFmtId="196" fontId="20" fillId="25" borderId="28" xfId="0" applyNumberFormat="1" applyFont="1" applyFill="1" applyBorder="1" applyAlignment="1" applyProtection="1">
      <alignment/>
      <protection hidden="1"/>
    </xf>
    <xf numFmtId="4" fontId="20" fillId="0" borderId="52" xfId="0" applyNumberFormat="1" applyFont="1" applyBorder="1" applyAlignment="1" applyProtection="1">
      <alignment/>
      <protection hidden="1"/>
    </xf>
    <xf numFmtId="4" fontId="20" fillId="0" borderId="54" xfId="0" applyNumberFormat="1" applyFont="1" applyBorder="1" applyAlignment="1" applyProtection="1">
      <alignment/>
      <protection hidden="1"/>
    </xf>
    <xf numFmtId="4" fontId="20" fillId="0" borderId="56" xfId="0" applyNumberFormat="1" applyFont="1" applyBorder="1" applyAlignment="1" applyProtection="1">
      <alignment/>
      <protection hidden="1"/>
    </xf>
    <xf numFmtId="186" fontId="20" fillId="0" borderId="57" xfId="59" applyNumberFormat="1" applyFont="1" applyBorder="1" applyAlignment="1" applyProtection="1">
      <alignment/>
      <protection hidden="1"/>
    </xf>
    <xf numFmtId="186" fontId="20" fillId="0" borderId="58" xfId="59" applyNumberFormat="1" applyFont="1" applyBorder="1" applyAlignment="1" applyProtection="1">
      <alignment/>
      <protection hidden="1"/>
    </xf>
    <xf numFmtId="186" fontId="20" fillId="0" borderId="59" xfId="59" applyNumberFormat="1" applyFont="1" applyBorder="1" applyAlignment="1" applyProtection="1">
      <alignment/>
      <protection hidden="1"/>
    </xf>
    <xf numFmtId="196" fontId="20" fillId="0" borderId="60" xfId="0" applyNumberFormat="1" applyFont="1" applyBorder="1" applyAlignment="1" applyProtection="1">
      <alignment/>
      <protection hidden="1"/>
    </xf>
    <xf numFmtId="9" fontId="20" fillId="0" borderId="57" xfId="59" applyFont="1" applyBorder="1" applyAlignment="1" applyProtection="1">
      <alignment/>
      <protection hidden="1"/>
    </xf>
    <xf numFmtId="196" fontId="20" fillId="0" borderId="57" xfId="0" applyNumberFormat="1" applyFont="1" applyBorder="1" applyAlignment="1" applyProtection="1">
      <alignment/>
      <protection hidden="1"/>
    </xf>
    <xf numFmtId="196" fontId="20" fillId="0" borderId="61" xfId="0" applyNumberFormat="1" applyFont="1" applyBorder="1" applyAlignment="1" applyProtection="1">
      <alignment/>
      <protection hidden="1"/>
    </xf>
    <xf numFmtId="9" fontId="20" fillId="0" borderId="58" xfId="59" applyFont="1" applyBorder="1" applyAlignment="1" applyProtection="1">
      <alignment/>
      <protection hidden="1"/>
    </xf>
    <xf numFmtId="196" fontId="20" fillId="0" borderId="58" xfId="0" applyNumberFormat="1" applyFont="1" applyBorder="1" applyAlignment="1" applyProtection="1">
      <alignment/>
      <protection hidden="1"/>
    </xf>
    <xf numFmtId="196" fontId="20" fillId="0" borderId="62" xfId="0" applyNumberFormat="1" applyFont="1" applyBorder="1" applyAlignment="1" applyProtection="1">
      <alignment/>
      <protection hidden="1"/>
    </xf>
    <xf numFmtId="9" fontId="20" fillId="0" borderId="63" xfId="59" applyFont="1" applyBorder="1" applyAlignment="1" applyProtection="1">
      <alignment/>
      <protection hidden="1"/>
    </xf>
    <xf numFmtId="196" fontId="20" fillId="0" borderId="63" xfId="0" applyNumberFormat="1" applyFont="1" applyBorder="1" applyAlignment="1" applyProtection="1">
      <alignment/>
      <protection hidden="1"/>
    </xf>
    <xf numFmtId="196" fontId="20" fillId="0" borderId="49" xfId="0" applyNumberFormat="1" applyFont="1" applyBorder="1" applyAlignment="1" applyProtection="1">
      <alignment/>
      <protection hidden="1"/>
    </xf>
    <xf numFmtId="9" fontId="20" fillId="0" borderId="35" xfId="59" applyFont="1" applyBorder="1" applyAlignment="1" applyProtection="1">
      <alignment/>
      <protection hidden="1"/>
    </xf>
    <xf numFmtId="196" fontId="20" fillId="0" borderId="35" xfId="0" applyNumberFormat="1" applyFont="1" applyBorder="1" applyAlignment="1" applyProtection="1">
      <alignment/>
      <protection hidden="1"/>
    </xf>
    <xf numFmtId="186" fontId="20" fillId="0" borderId="28" xfId="59" applyNumberFormat="1" applyFont="1" applyBorder="1" applyAlignment="1" applyProtection="1">
      <alignment/>
      <protection hidden="1"/>
    </xf>
    <xf numFmtId="186" fontId="20" fillId="0" borderId="20" xfId="0" applyNumberFormat="1" applyFont="1" applyBorder="1" applyAlignment="1" applyProtection="1">
      <alignment/>
      <protection hidden="1"/>
    </xf>
    <xf numFmtId="186" fontId="20" fillId="0" borderId="21" xfId="0" applyNumberFormat="1" applyFont="1" applyBorder="1" applyAlignment="1" applyProtection="1">
      <alignment/>
      <protection hidden="1"/>
    </xf>
    <xf numFmtId="196" fontId="20" fillId="0" borderId="51" xfId="0" applyNumberFormat="1" applyFont="1" applyBorder="1" applyAlignment="1" applyProtection="1">
      <alignment/>
      <protection hidden="1"/>
    </xf>
    <xf numFmtId="196" fontId="20" fillId="0" borderId="53" xfId="0" applyNumberFormat="1" applyFont="1" applyBorder="1" applyAlignment="1" applyProtection="1">
      <alignment/>
      <protection hidden="1"/>
    </xf>
    <xf numFmtId="196" fontId="20" fillId="0" borderId="64" xfId="0" applyNumberFormat="1" applyFont="1" applyBorder="1" applyAlignment="1" applyProtection="1">
      <alignment/>
      <protection hidden="1"/>
    </xf>
    <xf numFmtId="196" fontId="20" fillId="0" borderId="33" xfId="0" applyNumberFormat="1" applyFont="1" applyBorder="1" applyAlignment="1" applyProtection="1">
      <alignment/>
      <protection hidden="1"/>
    </xf>
    <xf numFmtId="9" fontId="20" fillId="0" borderId="65" xfId="59" applyFont="1" applyBorder="1" applyAlignment="1" applyProtection="1">
      <alignment/>
      <protection hidden="1"/>
    </xf>
    <xf numFmtId="9" fontId="20" fillId="0" borderId="66" xfId="59" applyFont="1" applyBorder="1" applyAlignment="1" applyProtection="1">
      <alignment/>
      <protection hidden="1"/>
    </xf>
    <xf numFmtId="9" fontId="20" fillId="0" borderId="67" xfId="59" applyFont="1" applyBorder="1" applyAlignment="1" applyProtection="1">
      <alignment/>
      <protection hidden="1"/>
    </xf>
    <xf numFmtId="0" fontId="20" fillId="0" borderId="68" xfId="0" applyFont="1" applyBorder="1" applyAlignment="1" applyProtection="1">
      <alignment/>
      <protection hidden="1"/>
    </xf>
    <xf numFmtId="0" fontId="22" fillId="25" borderId="28" xfId="0" applyFont="1" applyFill="1" applyBorder="1" applyAlignment="1" applyProtection="1">
      <alignment horizontal="center"/>
      <protection hidden="1"/>
    </xf>
    <xf numFmtId="9" fontId="20" fillId="0" borderId="52" xfId="0" applyNumberFormat="1" applyFont="1" applyBorder="1" applyAlignment="1" applyProtection="1">
      <alignment/>
      <protection hidden="1"/>
    </xf>
    <xf numFmtId="9" fontId="20" fillId="0" borderId="37" xfId="59" applyFont="1" applyBorder="1" applyAlignment="1" applyProtection="1">
      <alignment/>
      <protection hidden="1"/>
    </xf>
    <xf numFmtId="9" fontId="20" fillId="0" borderId="69" xfId="0" applyNumberFormat="1" applyFont="1" applyBorder="1" applyAlignment="1" applyProtection="1">
      <alignment/>
      <protection hidden="1"/>
    </xf>
    <xf numFmtId="186" fontId="20" fillId="0" borderId="61" xfId="0" applyNumberFormat="1" applyFont="1" applyBorder="1" applyAlignment="1" applyProtection="1">
      <alignment/>
      <protection hidden="1"/>
    </xf>
    <xf numFmtId="9" fontId="20" fillId="0" borderId="54" xfId="0" applyNumberFormat="1" applyFont="1" applyBorder="1" applyAlignment="1" applyProtection="1">
      <alignment/>
      <protection hidden="1"/>
    </xf>
    <xf numFmtId="9" fontId="20" fillId="0" borderId="54" xfId="59" applyFont="1" applyBorder="1" applyAlignment="1" applyProtection="1">
      <alignment/>
      <protection hidden="1"/>
    </xf>
    <xf numFmtId="9" fontId="20" fillId="0" borderId="58" xfId="0" applyNumberFormat="1" applyFont="1" applyBorder="1" applyAlignment="1" applyProtection="1">
      <alignment/>
      <protection hidden="1"/>
    </xf>
    <xf numFmtId="186" fontId="20" fillId="0" borderId="70" xfId="0" applyNumberFormat="1" applyFont="1" applyBorder="1" applyAlignment="1" applyProtection="1">
      <alignment/>
      <protection hidden="1"/>
    </xf>
    <xf numFmtId="9" fontId="20" fillId="0" borderId="56" xfId="59" applyFont="1" applyBorder="1" applyAlignment="1" applyProtection="1">
      <alignment/>
      <protection hidden="1"/>
    </xf>
    <xf numFmtId="9" fontId="20" fillId="0" borderId="59" xfId="59" applyFont="1" applyBorder="1" applyAlignment="1" applyProtection="1">
      <alignment/>
      <protection hidden="1"/>
    </xf>
    <xf numFmtId="186" fontId="20" fillId="0" borderId="71" xfId="0" applyNumberFormat="1" applyFont="1" applyBorder="1" applyAlignment="1" applyProtection="1">
      <alignment/>
      <protection hidden="1"/>
    </xf>
    <xf numFmtId="9" fontId="20" fillId="0" borderId="71" xfId="0" applyNumberFormat="1" applyFont="1" applyBorder="1" applyAlignment="1" applyProtection="1">
      <alignment/>
      <protection hidden="1"/>
    </xf>
    <xf numFmtId="9" fontId="20" fillId="0" borderId="72" xfId="0" applyNumberFormat="1" applyFont="1" applyBorder="1" applyAlignment="1" applyProtection="1">
      <alignment/>
      <protection hidden="1"/>
    </xf>
    <xf numFmtId="9" fontId="20" fillId="0" borderId="73" xfId="0" applyNumberFormat="1" applyFont="1" applyBorder="1" applyAlignment="1" applyProtection="1">
      <alignment/>
      <protection hidden="1"/>
    </xf>
    <xf numFmtId="9" fontId="20" fillId="0" borderId="39" xfId="0" applyNumberFormat="1" applyFont="1" applyBorder="1" applyAlignment="1" applyProtection="1">
      <alignment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0" fillId="0" borderId="25" xfId="0" applyFont="1" applyBorder="1" applyAlignment="1" applyProtection="1">
      <alignment horizontal="center"/>
      <protection hidden="1"/>
    </xf>
    <xf numFmtId="20" fontId="20" fillId="0" borderId="28" xfId="0" applyNumberFormat="1" applyFont="1" applyBorder="1" applyAlignment="1" applyProtection="1">
      <alignment/>
      <protection hidden="1"/>
    </xf>
    <xf numFmtId="0" fontId="20" fillId="0" borderId="10" xfId="0" applyNumberFormat="1" applyFont="1" applyBorder="1" applyAlignment="1" applyProtection="1">
      <alignment/>
      <protection hidden="1"/>
    </xf>
    <xf numFmtId="0" fontId="21" fillId="24" borderId="18" xfId="0" applyFont="1" applyFill="1" applyBorder="1" applyAlignment="1">
      <alignment/>
    </xf>
    <xf numFmtId="0" fontId="22" fillId="24" borderId="27" xfId="0" applyFont="1" applyFill="1" applyBorder="1" applyAlignment="1">
      <alignment wrapText="1"/>
    </xf>
    <xf numFmtId="0" fontId="20" fillId="24" borderId="74" xfId="0" applyFont="1" applyFill="1" applyBorder="1" applyAlignment="1">
      <alignment/>
    </xf>
    <xf numFmtId="0" fontId="20" fillId="0" borderId="75" xfId="0" applyFont="1" applyBorder="1" applyAlignment="1">
      <alignment/>
    </xf>
    <xf numFmtId="0" fontId="20" fillId="0" borderId="76" xfId="0" applyFont="1" applyBorder="1" applyAlignment="1">
      <alignment/>
    </xf>
    <xf numFmtId="0" fontId="20" fillId="24" borderId="77" xfId="0" applyFont="1" applyFill="1" applyBorder="1" applyAlignment="1">
      <alignment/>
    </xf>
    <xf numFmtId="0" fontId="20" fillId="0" borderId="78" xfId="0" applyFont="1" applyBorder="1" applyAlignment="1">
      <alignment/>
    </xf>
    <xf numFmtId="0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>
      <alignment/>
    </xf>
    <xf numFmtId="0" fontId="20" fillId="24" borderId="79" xfId="0" applyFont="1" applyFill="1" applyBorder="1" applyAlignment="1">
      <alignment/>
    </xf>
    <xf numFmtId="0" fontId="20" fillId="24" borderId="80" xfId="0" applyFont="1" applyFill="1" applyBorder="1" applyAlignment="1">
      <alignment/>
    </xf>
    <xf numFmtId="0" fontId="20" fillId="0" borderId="81" xfId="0" applyFont="1" applyBorder="1" applyAlignment="1">
      <alignment/>
    </xf>
    <xf numFmtId="0" fontId="20" fillId="0" borderId="8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20" fillId="0" borderId="87" xfId="0" applyFont="1" applyBorder="1" applyAlignment="1">
      <alignment/>
    </xf>
    <xf numFmtId="0" fontId="20" fillId="0" borderId="88" xfId="0" applyFont="1" applyBorder="1" applyAlignment="1">
      <alignment/>
    </xf>
    <xf numFmtId="0" fontId="20" fillId="0" borderId="89" xfId="0" applyFont="1" applyBorder="1" applyAlignment="1">
      <alignment/>
    </xf>
    <xf numFmtId="0" fontId="20" fillId="0" borderId="90" xfId="0" applyFont="1" applyBorder="1" applyAlignment="1">
      <alignment/>
    </xf>
    <xf numFmtId="0" fontId="20" fillId="0" borderId="91" xfId="0" applyFont="1" applyBorder="1" applyAlignment="1">
      <alignment/>
    </xf>
    <xf numFmtId="203" fontId="20" fillId="22" borderId="20" xfId="0" applyNumberFormat="1" applyFont="1" applyFill="1" applyBorder="1" applyAlignment="1" applyProtection="1">
      <alignment horizontal="right"/>
      <protection hidden="1" locked="0"/>
    </xf>
    <xf numFmtId="203" fontId="20" fillId="22" borderId="21" xfId="0" applyNumberFormat="1" applyFont="1" applyFill="1" applyBorder="1" applyAlignment="1" applyProtection="1">
      <alignment horizontal="right"/>
      <protection hidden="1" locked="0"/>
    </xf>
    <xf numFmtId="203" fontId="20" fillId="0" borderId="21" xfId="0" applyNumberFormat="1" applyFont="1" applyBorder="1" applyAlignment="1" applyProtection="1">
      <alignment horizontal="right"/>
      <protection hidden="1"/>
    </xf>
    <xf numFmtId="203" fontId="20" fillId="0" borderId="22" xfId="0" applyNumberFormat="1" applyFont="1" applyBorder="1" applyAlignment="1" applyProtection="1">
      <alignment horizontal="right"/>
      <protection hidden="1"/>
    </xf>
    <xf numFmtId="203" fontId="20" fillId="22" borderId="15" xfId="0" applyNumberFormat="1" applyFont="1" applyFill="1" applyBorder="1" applyAlignment="1" applyProtection="1">
      <alignment horizontal="right"/>
      <protection hidden="1" locked="0"/>
    </xf>
    <xf numFmtId="186" fontId="20" fillId="25" borderId="28" xfId="59" applyNumberFormat="1" applyFont="1" applyFill="1" applyBorder="1" applyAlignment="1" applyProtection="1">
      <alignment/>
      <protection hidden="1"/>
    </xf>
    <xf numFmtId="186" fontId="20" fillId="22" borderId="60" xfId="0" applyNumberFormat="1" applyFont="1" applyFill="1" applyBorder="1" applyAlignment="1" applyProtection="1">
      <alignment/>
      <protection locked="0"/>
    </xf>
    <xf numFmtId="0" fontId="20" fillId="0" borderId="92" xfId="0" applyFont="1" applyBorder="1" applyAlignment="1">
      <alignment/>
    </xf>
    <xf numFmtId="0" fontId="20" fillId="0" borderId="93" xfId="0" applyFont="1" applyBorder="1" applyAlignment="1">
      <alignment/>
    </xf>
    <xf numFmtId="0" fontId="20" fillId="0" borderId="94" xfId="0" applyFont="1" applyBorder="1" applyAlignment="1">
      <alignment/>
    </xf>
    <xf numFmtId="0" fontId="20" fillId="0" borderId="95" xfId="0" applyFont="1" applyBorder="1" applyAlignment="1">
      <alignment/>
    </xf>
    <xf numFmtId="0" fontId="22" fillId="0" borderId="27" xfId="0" applyFont="1" applyBorder="1" applyAlignment="1">
      <alignment horizontal="right"/>
    </xf>
    <xf numFmtId="2" fontId="22" fillId="22" borderId="28" xfId="0" applyNumberFormat="1" applyFont="1" applyFill="1" applyBorder="1" applyAlignment="1" applyProtection="1">
      <alignment vertical="center"/>
      <protection hidden="1" locked="0"/>
    </xf>
    <xf numFmtId="2" fontId="20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right"/>
      <protection hidden="1"/>
    </xf>
    <xf numFmtId="0" fontId="33" fillId="0" borderId="1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196" fontId="33" fillId="0" borderId="10" xfId="0" applyNumberFormat="1" applyFont="1" applyBorder="1" applyAlignment="1" applyProtection="1">
      <alignment/>
      <protection hidden="1"/>
    </xf>
    <xf numFmtId="3" fontId="29" fillId="25" borderId="18" xfId="0" applyNumberFormat="1" applyFont="1" applyFill="1" applyBorder="1" applyAlignment="1" applyProtection="1">
      <alignment horizontal="center"/>
      <protection hidden="1"/>
    </xf>
    <xf numFmtId="3" fontId="29" fillId="25" borderId="27" xfId="0" applyNumberFormat="1" applyFont="1" applyFill="1" applyBorder="1" applyAlignment="1" applyProtection="1">
      <alignment horizontal="center"/>
      <protection hidden="1"/>
    </xf>
    <xf numFmtId="0" fontId="20" fillId="20" borderId="18" xfId="0" applyFont="1" applyFill="1" applyBorder="1" applyAlignment="1">
      <alignment horizontal="left" vertical="center"/>
    </xf>
    <xf numFmtId="0" fontId="20" fillId="20" borderId="27" xfId="0" applyFont="1" applyFill="1" applyBorder="1" applyAlignment="1">
      <alignment horizontal="left" vertical="center"/>
    </xf>
    <xf numFmtId="3" fontId="20" fillId="22" borderId="18" xfId="0" applyNumberFormat="1" applyFont="1" applyFill="1" applyBorder="1" applyAlignment="1" applyProtection="1">
      <alignment horizontal="center"/>
      <protection hidden="1" locked="0"/>
    </xf>
    <xf numFmtId="3" fontId="20" fillId="22" borderId="27" xfId="0" applyNumberFormat="1" applyFont="1" applyFill="1" applyBorder="1" applyAlignment="1" applyProtection="1">
      <alignment horizontal="center"/>
      <protection hidden="1" locked="0"/>
    </xf>
    <xf numFmtId="0" fontId="21" fillId="20" borderId="18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30" fillId="0" borderId="17" xfId="0" applyFont="1" applyBorder="1" applyAlignment="1" applyProtection="1">
      <alignment horizontal="justify" vertical="top" wrapText="1"/>
      <protection hidden="1"/>
    </xf>
    <xf numFmtId="0" fontId="0" fillId="0" borderId="96" xfId="0" applyBorder="1" applyAlignment="1" applyProtection="1">
      <alignment horizontal="justify" vertical="top" wrapText="1"/>
      <protection hidden="1"/>
    </xf>
    <xf numFmtId="0" fontId="0" fillId="0" borderId="97" xfId="0" applyBorder="1" applyAlignment="1" applyProtection="1">
      <alignment horizontal="justify" vertical="top" wrapText="1"/>
      <protection hidden="1"/>
    </xf>
    <xf numFmtId="0" fontId="0" fillId="0" borderId="48" xfId="0" applyBorder="1" applyAlignment="1" applyProtection="1">
      <alignment horizontal="justify" vertical="top" wrapText="1"/>
      <protection hidden="1"/>
    </xf>
    <xf numFmtId="0" fontId="0" fillId="0" borderId="98" xfId="0" applyBorder="1" applyAlignment="1" applyProtection="1">
      <alignment horizontal="justify" vertical="top" wrapText="1"/>
      <protection hidden="1"/>
    </xf>
    <xf numFmtId="0" fontId="0" fillId="0" borderId="47" xfId="0" applyBorder="1" applyAlignment="1" applyProtection="1">
      <alignment horizontal="justify" vertical="top" wrapText="1"/>
      <protection hidden="1"/>
    </xf>
    <xf numFmtId="0" fontId="31" fillId="0" borderId="31" xfId="53" applyFont="1" applyBorder="1" applyAlignment="1">
      <alignment horizontal="center"/>
    </xf>
    <xf numFmtId="0" fontId="31" fillId="0" borderId="99" xfId="53" applyFont="1" applyBorder="1" applyAlignment="1">
      <alignment horizontal="center"/>
    </xf>
    <xf numFmtId="0" fontId="31" fillId="0" borderId="11" xfId="53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 applyProtection="1">
      <alignment horizontal="left"/>
      <protection hidden="1" locked="0"/>
    </xf>
    <xf numFmtId="0" fontId="22" fillId="22" borderId="26" xfId="0" applyFont="1" applyFill="1" applyBorder="1" applyAlignment="1" applyProtection="1">
      <alignment horizontal="left"/>
      <protection hidden="1" locked="0"/>
    </xf>
    <xf numFmtId="0" fontId="22" fillId="22" borderId="27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Performance Realisation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995"/>
          <c:w val="0.96725"/>
          <c:h val="0.8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Invulblad!$J$13</c:f>
              <c:strCache>
                <c:ptCount val="1"/>
                <c:pt idx="0">
                  <c:v>World Class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Invulblad!$L$12:$P$12</c:f>
              <c:strCache>
                <c:ptCount val="5"/>
                <c:pt idx="0">
                  <c:v>A</c:v>
                </c:pt>
                <c:pt idx="1">
                  <c:v>P</c:v>
                </c:pt>
                <c:pt idx="2">
                  <c:v>Q</c:v>
                </c:pt>
                <c:pt idx="3">
                  <c:v>OEE</c:v>
                </c:pt>
                <c:pt idx="4">
                  <c:v>Prod.</c:v>
                </c:pt>
              </c:strCache>
            </c:strRef>
          </c:cat>
          <c:val>
            <c:numRef>
              <c:f>Invulblad!$L$13:$P$13</c:f>
              <c:numCache>
                <c:ptCount val="5"/>
                <c:pt idx="0">
                  <c:v>0.9</c:v>
                </c:pt>
                <c:pt idx="1">
                  <c:v>0.95</c:v>
                </c:pt>
                <c:pt idx="2">
                  <c:v>0.98</c:v>
                </c:pt>
                <c:pt idx="3">
                  <c:v>0.8379</c:v>
                </c:pt>
                <c:pt idx="4">
                  <c:v>0.8379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Invulblad!$J$14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Invulblad!$L$12:$P$12</c:f>
              <c:strCache>
                <c:ptCount val="5"/>
                <c:pt idx="0">
                  <c:v>A</c:v>
                </c:pt>
                <c:pt idx="1">
                  <c:v>P</c:v>
                </c:pt>
                <c:pt idx="2">
                  <c:v>Q</c:v>
                </c:pt>
                <c:pt idx="3">
                  <c:v>OEE</c:v>
                </c:pt>
                <c:pt idx="4">
                  <c:v>Prod.</c:v>
                </c:pt>
              </c:strCache>
            </c:strRef>
          </c:cat>
          <c:val>
            <c:numRef>
              <c:f>Invulblad!$L$14:$P$14</c:f>
              <c:numCache>
                <c:ptCount val="5"/>
                <c:pt idx="0">
                  <c:v>0.85</c:v>
                </c:pt>
                <c:pt idx="1">
                  <c:v>0.85</c:v>
                </c:pt>
                <c:pt idx="2">
                  <c:v>0.92</c:v>
                </c:pt>
                <c:pt idx="3">
                  <c:v>0.6647</c:v>
                </c:pt>
                <c:pt idx="4">
                  <c:v>0.6647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Invulblad!$J$15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Invulblad!$L$12:$P$12</c:f>
              <c:strCache>
                <c:ptCount val="5"/>
                <c:pt idx="0">
                  <c:v>A</c:v>
                </c:pt>
                <c:pt idx="1">
                  <c:v>P</c:v>
                </c:pt>
                <c:pt idx="2">
                  <c:v>Q</c:v>
                </c:pt>
                <c:pt idx="3">
                  <c:v>OEE</c:v>
                </c:pt>
                <c:pt idx="4">
                  <c:v>Prod.</c:v>
                </c:pt>
              </c:strCache>
            </c:strRef>
          </c:cat>
          <c:val>
            <c:numRef>
              <c:f>Invulblad!$L$15:$P$15</c:f>
              <c:numCache>
                <c:ptCount val="5"/>
                <c:pt idx="0">
                  <c:v>0.6451612903219144</c:v>
                </c:pt>
                <c:pt idx="1">
                  <c:v>0.6749999999990541</c:v>
                </c:pt>
                <c:pt idx="2">
                  <c:v>0.8148148148140164</c:v>
                </c:pt>
                <c:pt idx="3">
                  <c:v>0.35483870967620795</c:v>
                </c:pt>
                <c:pt idx="4">
                  <c:v>0.31935483870858716</c:v>
                </c:pt>
              </c:numCache>
            </c:numRef>
          </c:val>
          <c:shape val="box"/>
        </c:ser>
        <c:shape val="box"/>
        <c:axId val="16618413"/>
        <c:axId val="15347990"/>
      </c:bar3D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18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465"/>
          <c:w val="0.491"/>
          <c:h val="0.048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Price Build-up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20"/>
      <c:rAngAx val="1"/>
    </c:view3D>
    <c:plotArea>
      <c:layout>
        <c:manualLayout>
          <c:xMode val="edge"/>
          <c:yMode val="edge"/>
          <c:x val="0"/>
          <c:y val="0.01075"/>
          <c:w val="0.9985"/>
          <c:h val="0.8972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Invulblad!$S$15</c:f>
              <c:strCache>
                <c:ptCount val="1"/>
                <c:pt idx="0">
                  <c:v>Overhead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(Invulblad!$T$15,Invulblad!$V$15,Invulblad!$Y$15)</c:f>
              <c:numCache>
                <c:ptCount val="3"/>
                <c:pt idx="0">
                  <c:v>0.15</c:v>
                </c:pt>
                <c:pt idx="1">
                  <c:v>0.18</c:v>
                </c:pt>
                <c:pt idx="2">
                  <c:v>0.144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Invulblad!$S$12</c:f>
              <c:strCache>
                <c:ptCount val="1"/>
                <c:pt idx="0">
                  <c:v>Raw 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(Invulblad!$T$12,Invulblad!$V$12,Invulblad!$Y$12)</c:f>
              <c:numCache>
                <c:ptCount val="3"/>
                <c:pt idx="0">
                  <c:v>3.10709853638425</c:v>
                </c:pt>
                <c:pt idx="1">
                  <c:v>3.457339090909091</c:v>
                </c:pt>
                <c:pt idx="2">
                  <c:v>3.091356783919598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Invulblad!$S$13</c:f>
              <c:strCache>
                <c:ptCount val="1"/>
                <c:pt idx="0">
                  <c:v>Labour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(Invulblad!$T$13,Invulblad!$V$13,Invulblad!$Y$13)</c:f>
              <c:numCache>
                <c:ptCount val="3"/>
                <c:pt idx="0">
                  <c:v>0.5641642846396872</c:v>
                </c:pt>
                <c:pt idx="1">
                  <c:v>1.1742424242464329</c:v>
                </c:pt>
                <c:pt idx="2">
                  <c:v>0.447547440028643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Invulblad!$S$14</c:f>
              <c:strCache>
                <c:ptCount val="1"/>
                <c:pt idx="0">
                  <c:v>Machine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(Invulblad!$T$14,Invulblad!$V$14,Invulblad!$Y$14)</c:f>
              <c:numCache>
                <c:ptCount val="3"/>
                <c:pt idx="0">
                  <c:v>0.4513314277117497</c:v>
                </c:pt>
                <c:pt idx="1">
                  <c:v>0.8454545454574318</c:v>
                </c:pt>
                <c:pt idx="2">
                  <c:v>0.35803795202291444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Invulblad!$V$5</c:f>
              <c:strCache>
                <c:ptCount val="1"/>
                <c:pt idx="0">
                  <c:v>Delta Standard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Invulblad!$W$5:$Y$5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0.2316520727645326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Invulblad!$V$3</c:f>
              <c:strCache>
                <c:ptCount val="1"/>
                <c:pt idx="0">
                  <c:v>Delta Actual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Invulblad!$W$3:$Y$3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1.3844418118772683</c:v>
                </c:pt>
              </c:numCache>
            </c:numRef>
          </c:val>
          <c:shape val="box"/>
        </c:ser>
        <c:overlap val="100"/>
        <c:gapWidth val="90"/>
        <c:gapDepth val="90"/>
        <c:shape val="box"/>
        <c:axId val="3914183"/>
        <c:axId val="35227648"/>
      </c:bar3DChart>
      <c:catAx>
        <c:axId val="391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9125"/>
          <c:w val="0.98575"/>
          <c:h val="0.079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1628775</xdr:colOff>
      <xdr:row>2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2028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85725</xdr:colOff>
      <xdr:row>5</xdr:row>
      <xdr:rowOff>19050</xdr:rowOff>
    </xdr:from>
    <xdr:ext cx="6000750" cy="695325"/>
    <xdr:sp>
      <xdr:nvSpPr>
        <xdr:cNvPr id="2" name="TextBox 8"/>
        <xdr:cNvSpPr txBox="1">
          <a:spLocks noChangeArrowheads="1"/>
        </xdr:cNvSpPr>
      </xdr:nvSpPr>
      <xdr:spPr>
        <a:xfrm>
          <a:off x="85725" y="1657350"/>
          <a:ext cx="6000750" cy="695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Please collect all relevant data of a production run. This tool gives you a first impression of the savings potential. True potential can only bve established over a longer term observation. 
All yellow colored cells can be adjusted.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5972175" cy="533400"/>
    <xdr:sp>
      <xdr:nvSpPr>
        <xdr:cNvPr id="3" name="TextBox 9"/>
        <xdr:cNvSpPr txBox="1">
          <a:spLocks noChangeArrowheads="1"/>
        </xdr:cNvSpPr>
      </xdr:nvSpPr>
      <xdr:spPr>
        <a:xfrm>
          <a:off x="95250" y="5915025"/>
          <a:ext cx="5972175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Ensure compensation value is 0. In case it's not, too much downtime has been logged, too much production has been declared, or production time is too short!</a:t>
          </a:r>
        </a:p>
      </xdr:txBody>
    </xdr:sp>
    <xdr:clientData/>
  </xdr:oneCellAnchor>
  <xdr:twoCellAnchor>
    <xdr:from>
      <xdr:col>9</xdr:col>
      <xdr:colOff>0</xdr:colOff>
      <xdr:row>16</xdr:row>
      <xdr:rowOff>28575</xdr:rowOff>
    </xdr:from>
    <xdr:to>
      <xdr:col>16</xdr:col>
      <xdr:colOff>0</xdr:colOff>
      <xdr:row>33</xdr:row>
      <xdr:rowOff>0</xdr:rowOff>
    </xdr:to>
    <xdr:graphicFrame>
      <xdr:nvGraphicFramePr>
        <xdr:cNvPr id="4" name="Chart 15"/>
        <xdr:cNvGraphicFramePr/>
      </xdr:nvGraphicFramePr>
      <xdr:xfrm>
        <a:off x="6248400" y="4533900"/>
        <a:ext cx="53435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0</xdr:colOff>
      <xdr:row>20</xdr:row>
      <xdr:rowOff>104775</xdr:rowOff>
    </xdr:from>
    <xdr:ext cx="7362825" cy="352425"/>
    <xdr:sp>
      <xdr:nvSpPr>
        <xdr:cNvPr id="5" name="TextBox 16"/>
        <xdr:cNvSpPr txBox="1">
          <a:spLocks noChangeArrowheads="1"/>
        </xdr:cNvSpPr>
      </xdr:nvSpPr>
      <xdr:spPr>
        <a:xfrm>
          <a:off x="11801475" y="5524500"/>
          <a:ext cx="73628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Ensure that declaration in colomn BOM corresponds with volumes. If item 'tray @ 24 fles @ 250ml' and 'No. pcs OK'  = 24,000 this means that 24000 trays were produced @ '10 trays/min'</a:t>
          </a:r>
        </a:p>
      </xdr:txBody>
    </xdr:sp>
    <xdr:clientData/>
  </xdr:oneCellAnchor>
  <xdr:twoCellAnchor editAs="absolute">
    <xdr:from>
      <xdr:col>9</xdr:col>
      <xdr:colOff>0</xdr:colOff>
      <xdr:row>6</xdr:row>
      <xdr:rowOff>47625</xdr:rowOff>
    </xdr:from>
    <xdr:to>
      <xdr:col>11</xdr:col>
      <xdr:colOff>447675</xdr:colOff>
      <xdr:row>8</xdr:row>
      <xdr:rowOff>28575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2438400"/>
          <a:ext cx="27908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95250</xdr:colOff>
      <xdr:row>0</xdr:row>
      <xdr:rowOff>38100</xdr:rowOff>
    </xdr:from>
    <xdr:to>
      <xdr:col>26</xdr:col>
      <xdr:colOff>1038225</xdr:colOff>
      <xdr:row>6</xdr:row>
      <xdr:rowOff>19050</xdr:rowOff>
    </xdr:to>
    <xdr:graphicFrame>
      <xdr:nvGraphicFramePr>
        <xdr:cNvPr id="7" name="Chart 23"/>
        <xdr:cNvGraphicFramePr/>
      </xdr:nvGraphicFramePr>
      <xdr:xfrm>
        <a:off x="14763750" y="38100"/>
        <a:ext cx="54292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ee-plus.nl?subject=SVP%20Afspraak%20maken" TargetMode="External" /><Relationship Id="rId2" Type="http://schemas.openxmlformats.org/officeDocument/2006/relationships/hyperlink" Target="http://www.oee-plus.nl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7"/>
  <sheetViews>
    <sheetView tabSelected="1" zoomScalePageLayoutView="0" workbookViewId="0" topLeftCell="A26">
      <selection activeCell="J48" sqref="J48"/>
    </sheetView>
  </sheetViews>
  <sheetFormatPr defaultColWidth="9.140625" defaultRowHeight="12.75"/>
  <cols>
    <col min="1" max="1" width="1.421875" style="1" customWidth="1"/>
    <col min="2" max="2" width="6.28125" style="1" bestFit="1" customWidth="1"/>
    <col min="3" max="3" width="25.421875" style="1" customWidth="1"/>
    <col min="4" max="5" width="14.7109375" style="1" customWidth="1"/>
    <col min="6" max="6" width="0.85546875" style="1" customWidth="1"/>
    <col min="7" max="7" width="13.7109375" style="1" customWidth="1"/>
    <col min="8" max="8" width="14.7109375" style="1" customWidth="1"/>
    <col min="9" max="9" width="1.8515625" style="1" customWidth="1"/>
    <col min="10" max="10" width="23.00390625" style="1" customWidth="1"/>
    <col min="11" max="11" width="12.140625" style="1" customWidth="1"/>
    <col min="12" max="15" width="9.140625" style="1" customWidth="1"/>
    <col min="16" max="16" width="8.421875" style="1" customWidth="1"/>
    <col min="17" max="17" width="1.421875" style="1" customWidth="1"/>
    <col min="18" max="18" width="1.7109375" style="1" customWidth="1"/>
    <col min="19" max="19" width="16.421875" style="1" customWidth="1"/>
    <col min="20" max="20" width="15.7109375" style="1" customWidth="1"/>
    <col min="21" max="21" width="10.8515625" style="1" customWidth="1"/>
    <col min="22" max="22" width="15.7109375" style="1" customWidth="1"/>
    <col min="23" max="23" width="10.8515625" style="1" customWidth="1"/>
    <col min="24" max="24" width="14.140625" style="1" customWidth="1"/>
    <col min="25" max="25" width="15.7109375" style="1" customWidth="1"/>
    <col min="26" max="26" width="10.8515625" style="1" customWidth="1"/>
    <col min="27" max="27" width="15.7109375" style="1" customWidth="1"/>
    <col min="28" max="28" width="1.7109375" style="1" customWidth="1"/>
    <col min="29" max="16384" width="9.140625" style="1" customWidth="1"/>
  </cols>
  <sheetData>
    <row r="1" spans="1:28" ht="7.5" customHeight="1" thickTop="1">
      <c r="A1" s="150"/>
      <c r="B1" s="151"/>
      <c r="C1" s="151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65"/>
      <c r="R1" s="168"/>
      <c r="S1" s="151"/>
      <c r="T1" s="151"/>
      <c r="U1" s="151"/>
      <c r="V1" s="151"/>
      <c r="W1" s="151"/>
      <c r="X1" s="151"/>
      <c r="Y1" s="151"/>
      <c r="Z1" s="151"/>
      <c r="AA1" s="151"/>
      <c r="AB1" s="152"/>
    </row>
    <row r="2" spans="1:28" ht="39" customHeight="1" thickBot="1">
      <c r="A2" s="153"/>
      <c r="B2" s="5"/>
      <c r="C2" s="5"/>
      <c r="D2" s="200" t="str">
        <f>CONCATENATE("Savings Potential on line ",E12,CHAR(10),"for item ",D8,CHAR(10),"annually accrues to € ",TEXT(Y20,"###,#0"))</f>
        <v>Savings Potential on line d12
for item 1234, tray @ 24 bottles abc, @ 250ml
annually accrues to € 323,219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180"/>
      <c r="R2" s="181"/>
      <c r="S2" s="5"/>
      <c r="T2" s="5"/>
      <c r="U2" s="5"/>
      <c r="V2" s="5"/>
      <c r="W2" s="5"/>
      <c r="X2" s="5"/>
      <c r="Y2" s="5"/>
      <c r="Z2" s="5"/>
      <c r="AA2" s="5"/>
      <c r="AB2" s="182"/>
    </row>
    <row r="3" spans="1:28" ht="39" customHeight="1" thickBot="1">
      <c r="A3" s="153"/>
      <c r="B3" s="2"/>
      <c r="C3" s="2"/>
      <c r="D3" s="203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166"/>
      <c r="R3" s="169"/>
      <c r="S3" s="193" t="s">
        <v>66</v>
      </c>
      <c r="T3" s="194"/>
      <c r="U3" s="184">
        <v>180</v>
      </c>
      <c r="V3" s="188" t="s">
        <v>39</v>
      </c>
      <c r="W3" s="188">
        <v>0</v>
      </c>
      <c r="X3" s="189">
        <v>0</v>
      </c>
      <c r="Y3" s="190">
        <f>ABS(Y16-V16)-Y5</f>
        <v>1.3844418118772683</v>
      </c>
      <c r="Z3" s="2"/>
      <c r="AA3" s="2"/>
      <c r="AB3" s="154"/>
    </row>
    <row r="4" spans="1:28" ht="4.5" customHeight="1" thickBot="1">
      <c r="A4" s="153"/>
      <c r="B4" s="2"/>
      <c r="C4" s="2"/>
      <c r="D4" s="2"/>
      <c r="E4" s="2"/>
      <c r="F4" s="2"/>
      <c r="G4" s="2"/>
      <c r="H4" s="2"/>
      <c r="I4" s="2"/>
      <c r="J4" s="2"/>
      <c r="L4" s="12"/>
      <c r="M4" s="12"/>
      <c r="N4" s="2"/>
      <c r="O4" s="2"/>
      <c r="P4" s="2"/>
      <c r="Q4" s="166"/>
      <c r="R4" s="170"/>
      <c r="S4" s="2"/>
      <c r="T4" s="2"/>
      <c r="U4" s="185"/>
      <c r="V4" s="188"/>
      <c r="W4" s="188"/>
      <c r="X4" s="188"/>
      <c r="Y4" s="188"/>
      <c r="Z4" s="2"/>
      <c r="AA4" s="2"/>
      <c r="AB4" s="154"/>
    </row>
    <row r="5" spans="1:28" ht="39" customHeight="1" thickBot="1">
      <c r="A5" s="15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66"/>
      <c r="R5" s="169"/>
      <c r="S5" s="35" t="s">
        <v>67</v>
      </c>
      <c r="T5" s="36"/>
      <c r="U5" s="184">
        <v>25</v>
      </c>
      <c r="V5" s="188" t="s">
        <v>40</v>
      </c>
      <c r="W5" s="188">
        <v>0</v>
      </c>
      <c r="X5" s="189">
        <v>0</v>
      </c>
      <c r="Y5" s="190">
        <f>ABS(Y16-T16)</f>
        <v>0.2316520727645326</v>
      </c>
      <c r="Z5" s="2"/>
      <c r="AA5" s="2"/>
      <c r="AB5" s="154"/>
    </row>
    <row r="6" spans="1:28" ht="59.25" customHeight="1">
      <c r="A6" s="153"/>
      <c r="B6" s="2"/>
      <c r="C6" s="2"/>
      <c r="D6" s="4"/>
      <c r="E6" s="4"/>
      <c r="F6" s="4"/>
      <c r="G6" s="4"/>
      <c r="H6" s="2"/>
      <c r="I6" s="2"/>
      <c r="J6" s="2"/>
      <c r="K6" s="5"/>
      <c r="L6" s="5"/>
      <c r="M6" s="5"/>
      <c r="N6" s="2"/>
      <c r="O6" s="2"/>
      <c r="P6" s="2"/>
      <c r="Q6" s="166"/>
      <c r="R6" s="169"/>
      <c r="S6" s="188"/>
      <c r="T6" s="188"/>
      <c r="U6" s="188"/>
      <c r="V6" s="188"/>
      <c r="W6" s="188"/>
      <c r="X6" s="189"/>
      <c r="Y6" s="190"/>
      <c r="Z6" s="2"/>
      <c r="AA6" s="2"/>
      <c r="AB6" s="154"/>
    </row>
    <row r="7" spans="1:28" ht="4.5" customHeight="1" thickBot="1">
      <c r="A7" s="153"/>
      <c r="B7" s="2"/>
      <c r="C7" s="2"/>
      <c r="D7" s="4"/>
      <c r="E7" s="4"/>
      <c r="F7" s="4"/>
      <c r="G7" s="4"/>
      <c r="H7" s="2"/>
      <c r="I7" s="2"/>
      <c r="J7" s="2"/>
      <c r="K7" s="5"/>
      <c r="L7" s="5"/>
      <c r="M7" s="5"/>
      <c r="N7" s="2"/>
      <c r="O7" s="2"/>
      <c r="P7" s="2"/>
      <c r="Q7" s="166"/>
      <c r="R7" s="170"/>
      <c r="S7" s="4"/>
      <c r="T7" s="4"/>
      <c r="U7" s="4"/>
      <c r="V7" s="4"/>
      <c r="W7" s="4"/>
      <c r="X7" s="4"/>
      <c r="Y7" s="4"/>
      <c r="Z7" s="4"/>
      <c r="AA7" s="4"/>
      <c r="AB7" s="154"/>
    </row>
    <row r="8" spans="1:28" ht="18.75" customHeight="1" thickBot="1">
      <c r="A8" s="153"/>
      <c r="B8" s="2"/>
      <c r="C8" s="67" t="s">
        <v>79</v>
      </c>
      <c r="D8" s="214" t="s">
        <v>41</v>
      </c>
      <c r="E8" s="215"/>
      <c r="F8" s="215"/>
      <c r="G8" s="216"/>
      <c r="H8" s="3"/>
      <c r="I8" s="2"/>
      <c r="J8" s="209"/>
      <c r="K8" s="210"/>
      <c r="L8" s="2"/>
      <c r="M8" s="206" t="s">
        <v>63</v>
      </c>
      <c r="N8" s="207"/>
      <c r="O8" s="207"/>
      <c r="P8" s="208"/>
      <c r="Q8" s="166"/>
      <c r="R8" s="169"/>
      <c r="S8" s="197" t="s">
        <v>78</v>
      </c>
      <c r="T8" s="198"/>
      <c r="U8" s="198"/>
      <c r="V8" s="198"/>
      <c r="W8" s="198"/>
      <c r="X8" s="198"/>
      <c r="Y8" s="198"/>
      <c r="Z8" s="198"/>
      <c r="AA8" s="199"/>
      <c r="AB8" s="154"/>
    </row>
    <row r="9" spans="1:28" ht="3" customHeight="1" thickBot="1">
      <c r="A9" s="153"/>
      <c r="B9" s="2"/>
      <c r="C9" s="10"/>
      <c r="D9" s="5"/>
      <c r="E9" s="5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166"/>
      <c r="R9" s="170"/>
      <c r="S9" s="12"/>
      <c r="T9" s="12"/>
      <c r="U9" s="12"/>
      <c r="V9" s="12"/>
      <c r="W9" s="12"/>
      <c r="X9" s="12"/>
      <c r="Y9" s="12"/>
      <c r="Z9" s="12"/>
      <c r="AA9" s="5"/>
      <c r="AB9" s="154"/>
    </row>
    <row r="10" spans="1:28" ht="45" customHeight="1" thickBot="1">
      <c r="A10" s="153"/>
      <c r="B10" s="2"/>
      <c r="C10" s="9"/>
      <c r="D10" s="22" t="s">
        <v>0</v>
      </c>
      <c r="E10" s="23" t="s">
        <v>1</v>
      </c>
      <c r="F10" s="24"/>
      <c r="G10" s="25" t="s">
        <v>42</v>
      </c>
      <c r="H10" s="26"/>
      <c r="I10" s="26"/>
      <c r="J10" s="211" t="s">
        <v>65</v>
      </c>
      <c r="K10" s="212"/>
      <c r="L10" s="212"/>
      <c r="M10" s="212"/>
      <c r="N10" s="212"/>
      <c r="O10" s="212"/>
      <c r="P10" s="213"/>
      <c r="Q10" s="166"/>
      <c r="R10" s="169"/>
      <c r="S10" s="34"/>
      <c r="T10" s="47" t="s">
        <v>34</v>
      </c>
      <c r="U10" s="51" t="s">
        <v>17</v>
      </c>
      <c r="V10" s="47" t="s">
        <v>36</v>
      </c>
      <c r="W10" s="51" t="s">
        <v>17</v>
      </c>
      <c r="X10" s="61" t="s">
        <v>72</v>
      </c>
      <c r="Y10" s="59" t="s">
        <v>35</v>
      </c>
      <c r="Z10" s="51" t="s">
        <v>17</v>
      </c>
      <c r="AA10" s="52" t="s">
        <v>73</v>
      </c>
      <c r="AB10" s="154"/>
    </row>
    <row r="11" spans="1:28" ht="3" customHeight="1" thickBot="1">
      <c r="A11" s="153"/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166"/>
      <c r="R11" s="170"/>
      <c r="S11" s="12"/>
      <c r="T11" s="12"/>
      <c r="U11" s="45"/>
      <c r="V11" s="48"/>
      <c r="W11" s="49"/>
      <c r="X11" s="60"/>
      <c r="Y11" s="46"/>
      <c r="Z11" s="49"/>
      <c r="AA11" s="12"/>
      <c r="AB11" s="154"/>
    </row>
    <row r="12" spans="1:28" ht="20.25" customHeight="1" thickBot="1">
      <c r="A12" s="153"/>
      <c r="B12" s="2"/>
      <c r="C12" s="6" t="s">
        <v>43</v>
      </c>
      <c r="D12" s="68" t="s">
        <v>2</v>
      </c>
      <c r="E12" s="69" t="s">
        <v>38</v>
      </c>
      <c r="F12" s="3"/>
      <c r="G12" s="2"/>
      <c r="H12" s="2"/>
      <c r="I12" s="31"/>
      <c r="J12" s="40"/>
      <c r="K12" s="58" t="s">
        <v>33</v>
      </c>
      <c r="L12" s="41" t="s">
        <v>3</v>
      </c>
      <c r="M12" s="42" t="s">
        <v>12</v>
      </c>
      <c r="N12" s="42" t="s">
        <v>4</v>
      </c>
      <c r="O12" s="43" t="s">
        <v>5</v>
      </c>
      <c r="P12" s="28" t="s">
        <v>14</v>
      </c>
      <c r="Q12" s="166"/>
      <c r="R12" s="169"/>
      <c r="S12" s="13" t="s">
        <v>68</v>
      </c>
      <c r="T12" s="105">
        <f>X35</f>
        <v>3.10709853638425</v>
      </c>
      <c r="U12" s="124">
        <f>T12/$T$16</f>
        <v>0.7272159150857065</v>
      </c>
      <c r="V12" s="120">
        <f>Y35</f>
        <v>3.457339090909091</v>
      </c>
      <c r="W12" s="106">
        <f>V12/$V$16</f>
        <v>0.611157336432902</v>
      </c>
      <c r="X12" s="118">
        <f>K16</f>
        <v>0.1183888928295933</v>
      </c>
      <c r="Y12" s="105">
        <f>V35/K13</f>
        <v>3.091356783919598</v>
      </c>
      <c r="Z12" s="106">
        <f>Y12/$Y$16</f>
        <v>0.7650089135899737</v>
      </c>
      <c r="AA12" s="107">
        <f>T12-Y12</f>
        <v>0.015741752464652148</v>
      </c>
      <c r="AB12" s="154"/>
    </row>
    <row r="13" spans="1:28" ht="18" customHeight="1">
      <c r="A13" s="153"/>
      <c r="B13" s="2"/>
      <c r="C13" s="7" t="s">
        <v>44</v>
      </c>
      <c r="D13" s="70">
        <v>40127</v>
      </c>
      <c r="E13" s="71">
        <v>40127</v>
      </c>
      <c r="F13" s="3"/>
      <c r="G13" s="2"/>
      <c r="H13" s="2"/>
      <c r="I13" s="31"/>
      <c r="J13" s="13" t="s">
        <v>13</v>
      </c>
      <c r="K13" s="178">
        <v>0.995</v>
      </c>
      <c r="L13" s="129">
        <v>0.9</v>
      </c>
      <c r="M13" s="129">
        <v>0.95</v>
      </c>
      <c r="N13" s="129">
        <v>0.98</v>
      </c>
      <c r="O13" s="130">
        <f>L13*M13*N13</f>
        <v>0.8379</v>
      </c>
      <c r="P13" s="131">
        <f>O13</f>
        <v>0.8379</v>
      </c>
      <c r="Q13" s="154"/>
      <c r="R13" s="169"/>
      <c r="S13" s="14" t="s">
        <v>69</v>
      </c>
      <c r="T13" s="108">
        <f>U5*D22/(D18*P14*60)</f>
        <v>0.5641642846396872</v>
      </c>
      <c r="U13" s="125">
        <f>T13/$T$16</f>
        <v>0.13204256051382135</v>
      </c>
      <c r="V13" s="121">
        <f>U5*D22/(D18*60*P15)</f>
        <v>1.1742424242464329</v>
      </c>
      <c r="W13" s="109">
        <f>V13/$V$16</f>
        <v>0.20757202387697002</v>
      </c>
      <c r="X13" s="119">
        <f>P16</f>
        <v>1.6237272727362297</v>
      </c>
      <c r="Y13" s="108">
        <f>V13/(1+X13)</f>
        <v>0.447547440028643</v>
      </c>
      <c r="Z13" s="109">
        <f>Y13/$Y$16</f>
        <v>0.11075324034328317</v>
      </c>
      <c r="AA13" s="110">
        <f>V13-Y13</f>
        <v>0.7266949842177899</v>
      </c>
      <c r="AB13" s="154"/>
    </row>
    <row r="14" spans="1:28" ht="18" customHeight="1">
      <c r="A14" s="153"/>
      <c r="B14" s="2"/>
      <c r="C14" s="7" t="s">
        <v>46</v>
      </c>
      <c r="D14" s="72">
        <v>0.3333333333333333</v>
      </c>
      <c r="E14" s="73">
        <v>0.3854166666666667</v>
      </c>
      <c r="F14" s="3"/>
      <c r="G14" s="2"/>
      <c r="H14" s="2"/>
      <c r="I14" s="31"/>
      <c r="J14" s="14" t="s">
        <v>0</v>
      </c>
      <c r="K14" s="132">
        <f>X36</f>
        <v>0.9899589485113156</v>
      </c>
      <c r="L14" s="133">
        <v>0.85</v>
      </c>
      <c r="M14" s="133">
        <v>0.85</v>
      </c>
      <c r="N14" s="133">
        <v>0.92</v>
      </c>
      <c r="O14" s="134">
        <f>L14*M14*N14</f>
        <v>0.6647</v>
      </c>
      <c r="P14" s="135">
        <f>O14</f>
        <v>0.6647</v>
      </c>
      <c r="Q14" s="154"/>
      <c r="R14" s="169"/>
      <c r="S14" s="14" t="s">
        <v>15</v>
      </c>
      <c r="T14" s="108">
        <f>U3/(D18*O14*60)</f>
        <v>0.4513314277117497</v>
      </c>
      <c r="U14" s="125">
        <f>T14/$T$16</f>
        <v>0.10563404841105709</v>
      </c>
      <c r="V14" s="121">
        <f>U3/(D18*60*O15)</f>
        <v>0.8454545454574318</v>
      </c>
      <c r="W14" s="109">
        <f>V14/$V$16</f>
        <v>0.14945185719141843</v>
      </c>
      <c r="X14" s="119">
        <f>O16</f>
        <v>1.361354545462607</v>
      </c>
      <c r="Y14" s="108">
        <f>V14/(1+X14)</f>
        <v>0.35803795202291444</v>
      </c>
      <c r="Z14" s="109">
        <f>Y14/$Y$16</f>
        <v>0.08860259227462654</v>
      </c>
      <c r="AA14" s="110">
        <f>V14-Y14</f>
        <v>0.4874165934345174</v>
      </c>
      <c r="AB14" s="154"/>
    </row>
    <row r="15" spans="1:28" ht="18" customHeight="1" thickBot="1">
      <c r="A15" s="153"/>
      <c r="B15" s="2"/>
      <c r="C15" s="7" t="s">
        <v>45</v>
      </c>
      <c r="D15" s="70">
        <v>40127</v>
      </c>
      <c r="E15" s="71">
        <v>40127</v>
      </c>
      <c r="F15" s="3"/>
      <c r="G15" s="2"/>
      <c r="H15" s="2"/>
      <c r="I15" s="31"/>
      <c r="J15" s="15" t="s">
        <v>75</v>
      </c>
      <c r="K15" s="136">
        <f>Y36</f>
        <v>0.8896726410458068</v>
      </c>
      <c r="L15" s="137">
        <f>(G17-SUM(G27:G28))/G17</f>
        <v>0.6451612903219144</v>
      </c>
      <c r="M15" s="137">
        <f>(G17-SUM(G27:G30,G35))/(G17-SUM(G27:G28))</f>
        <v>0.6749999999990541</v>
      </c>
      <c r="N15" s="137">
        <f>(G17-SUM(G27:G32,G35))/(G17-SUM(G27:G30,G35))</f>
        <v>0.8148148148140164</v>
      </c>
      <c r="O15" s="137">
        <f>L15*M15*N15</f>
        <v>0.35483870967620795</v>
      </c>
      <c r="P15" s="138">
        <f>O15*D22/E22</f>
        <v>0.31935483870858716</v>
      </c>
      <c r="Q15" s="154"/>
      <c r="R15" s="169"/>
      <c r="S15" s="32" t="s">
        <v>19</v>
      </c>
      <c r="T15" s="111">
        <v>0.15</v>
      </c>
      <c r="U15" s="126">
        <f>T15/$T$16</f>
        <v>0.03510747598941481</v>
      </c>
      <c r="V15" s="122">
        <v>0.18</v>
      </c>
      <c r="W15" s="112">
        <f>V15/$V$16</f>
        <v>0.03181878249870949</v>
      </c>
      <c r="X15" s="82">
        <v>0.25</v>
      </c>
      <c r="Y15" s="111">
        <f>V15/(1+X15)</f>
        <v>0.144</v>
      </c>
      <c r="Z15" s="112">
        <f>Y15/$Y$16</f>
        <v>0.03563525379211659</v>
      </c>
      <c r="AA15" s="113">
        <f>V15-Y15</f>
        <v>0.036000000000000004</v>
      </c>
      <c r="AB15" s="154"/>
    </row>
    <row r="16" spans="1:28" ht="18" customHeight="1" thickBot="1">
      <c r="A16" s="153"/>
      <c r="B16" s="2"/>
      <c r="C16" s="7" t="s">
        <v>47</v>
      </c>
      <c r="D16" s="72">
        <v>0.5</v>
      </c>
      <c r="E16" s="73">
        <v>0.8159722222222222</v>
      </c>
      <c r="F16" s="3"/>
      <c r="G16" s="2"/>
      <c r="H16" s="2"/>
      <c r="I16" s="5"/>
      <c r="J16" s="44" t="s">
        <v>64</v>
      </c>
      <c r="K16" s="139">
        <f aca="true" t="shared" si="0" ref="K16:P16">K13/K15-1</f>
        <v>0.1183888928295933</v>
      </c>
      <c r="L16" s="140">
        <f t="shared" si="0"/>
        <v>0.39500000000144064</v>
      </c>
      <c r="M16" s="141">
        <f t="shared" si="0"/>
        <v>0.4074074074093794</v>
      </c>
      <c r="N16" s="141">
        <f t="shared" si="0"/>
        <v>0.20272727272845126</v>
      </c>
      <c r="O16" s="142">
        <f t="shared" si="0"/>
        <v>1.361354545462607</v>
      </c>
      <c r="P16" s="143">
        <f t="shared" si="0"/>
        <v>1.6237272727362297</v>
      </c>
      <c r="Q16" s="166"/>
      <c r="R16" s="169"/>
      <c r="S16" s="33" t="s">
        <v>18</v>
      </c>
      <c r="T16" s="114">
        <f>SUM(T12:T15)</f>
        <v>4.272594248735688</v>
      </c>
      <c r="U16" s="127"/>
      <c r="V16" s="123">
        <f>SUM(V12:V15)</f>
        <v>5.657036060612956</v>
      </c>
      <c r="W16" s="50"/>
      <c r="X16" s="117">
        <f>1-Y16/V16</f>
        <v>0.28567855451617763</v>
      </c>
      <c r="Y16" s="114">
        <f>SUM(Y12:Y15)</f>
        <v>4.040942175971155</v>
      </c>
      <c r="Z16" s="115"/>
      <c r="AA16" s="116">
        <f>V16-Y16</f>
        <v>1.616093884641801</v>
      </c>
      <c r="AB16" s="154"/>
    </row>
    <row r="17" spans="1:28" ht="18" customHeight="1" thickBot="1">
      <c r="A17" s="153"/>
      <c r="B17" s="2"/>
      <c r="C17" s="7" t="s">
        <v>49</v>
      </c>
      <c r="D17" s="176">
        <f>SUM(D15:D16)-SUM(D13:D14)</f>
        <v>0.16666666666424135</v>
      </c>
      <c r="E17" s="173">
        <f>SUM(E15:E16)-SUM(E13:E14)</f>
        <v>0.4305555555547471</v>
      </c>
      <c r="F17" s="3"/>
      <c r="G17" s="155">
        <f>E17*1440</f>
        <v>619.9999999988358</v>
      </c>
      <c r="H17" s="2"/>
      <c r="I17" s="2"/>
      <c r="J17" s="2"/>
      <c r="K17" s="2"/>
      <c r="L17" s="2"/>
      <c r="M17" s="2"/>
      <c r="N17" s="2"/>
      <c r="O17" s="2"/>
      <c r="P17" s="2"/>
      <c r="Q17" s="166"/>
      <c r="R17" s="169"/>
      <c r="S17" s="62" t="s">
        <v>37</v>
      </c>
      <c r="T17" s="128">
        <f>ROUND(T16/$Y$16*100,0)</f>
        <v>106</v>
      </c>
      <c r="U17" s="66"/>
      <c r="V17" s="128">
        <f>ROUND(V16/$Y$16*100,0)</f>
        <v>140</v>
      </c>
      <c r="W17" s="5"/>
      <c r="X17" s="5"/>
      <c r="Y17" s="128">
        <f>ROUND(Y16/$Y$16*100,0)</f>
        <v>100</v>
      </c>
      <c r="Z17" s="3"/>
      <c r="AA17" s="3"/>
      <c r="AB17" s="154"/>
    </row>
    <row r="18" spans="1:28" ht="18" customHeight="1" thickBot="1">
      <c r="A18" s="153"/>
      <c r="B18" s="2"/>
      <c r="C18" s="7" t="s">
        <v>55</v>
      </c>
      <c r="D18" s="74">
        <f>240/24</f>
        <v>10</v>
      </c>
      <c r="E18" s="75">
        <v>8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166"/>
      <c r="R18" s="170"/>
      <c r="S18" s="12"/>
      <c r="T18" s="12"/>
      <c r="U18" s="12"/>
      <c r="V18" s="5"/>
      <c r="W18" s="5"/>
      <c r="X18" s="5"/>
      <c r="Y18" s="12"/>
      <c r="Z18" s="12"/>
      <c r="AA18" s="5"/>
      <c r="AB18" s="154"/>
    </row>
    <row r="19" spans="1:28" ht="18" customHeight="1" thickBot="1">
      <c r="A19" s="153"/>
      <c r="B19" s="2"/>
      <c r="C19" s="7" t="s">
        <v>50</v>
      </c>
      <c r="D19" s="76">
        <v>2400</v>
      </c>
      <c r="E19" s="77">
        <v>2200</v>
      </c>
      <c r="F19" s="3"/>
      <c r="G19" s="156">
        <f>E19/D18</f>
        <v>220</v>
      </c>
      <c r="H19" s="2"/>
      <c r="I19" s="2"/>
      <c r="J19" s="2"/>
      <c r="K19" s="2"/>
      <c r="L19" s="2"/>
      <c r="M19" s="2"/>
      <c r="N19" s="2"/>
      <c r="O19" s="2"/>
      <c r="P19" s="2"/>
      <c r="Q19" s="166"/>
      <c r="R19" s="169"/>
      <c r="S19" s="11" t="s">
        <v>70</v>
      </c>
      <c r="T19" s="53"/>
      <c r="U19" s="54"/>
      <c r="V19" s="56"/>
      <c r="W19" s="5"/>
      <c r="X19" s="57"/>
      <c r="Y19" s="195">
        <v>200000</v>
      </c>
      <c r="Z19" s="196"/>
      <c r="AA19" s="3"/>
      <c r="AB19" s="154"/>
    </row>
    <row r="20" spans="1:28" ht="18" customHeight="1" thickBot="1">
      <c r="A20" s="153"/>
      <c r="B20" s="2"/>
      <c r="C20" s="7" t="s">
        <v>51</v>
      </c>
      <c r="D20" s="76">
        <v>0</v>
      </c>
      <c r="E20" s="77">
        <v>100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166"/>
      <c r="R20" s="169"/>
      <c r="S20" s="148" t="s">
        <v>71</v>
      </c>
      <c r="T20" s="64"/>
      <c r="U20" s="149" t="s">
        <v>16</v>
      </c>
      <c r="V20" s="56"/>
      <c r="W20" s="5"/>
      <c r="X20" s="30"/>
      <c r="Y20" s="191">
        <f>Y19*AA16</f>
        <v>323218.77692836017</v>
      </c>
      <c r="Z20" s="192"/>
      <c r="AA20" s="3"/>
      <c r="AB20" s="154"/>
    </row>
    <row r="21" spans="1:28" ht="18" customHeight="1">
      <c r="A21" s="153"/>
      <c r="B21" s="2"/>
      <c r="C21" s="7" t="s">
        <v>52</v>
      </c>
      <c r="D21" s="76">
        <v>0</v>
      </c>
      <c r="E21" s="77">
        <v>200</v>
      </c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166"/>
      <c r="R21" s="170"/>
      <c r="S21" s="5"/>
      <c r="T21" s="5"/>
      <c r="U21" s="5"/>
      <c r="V21" s="2"/>
      <c r="W21" s="2"/>
      <c r="X21" s="2"/>
      <c r="Y21" s="5"/>
      <c r="Z21" s="5"/>
      <c r="AA21" s="2"/>
      <c r="AB21" s="154"/>
    </row>
    <row r="22" spans="1:28" ht="18" customHeight="1" thickBot="1">
      <c r="A22" s="153"/>
      <c r="B22" s="2"/>
      <c r="C22" s="8" t="s">
        <v>53</v>
      </c>
      <c r="D22" s="78">
        <v>9</v>
      </c>
      <c r="E22" s="79">
        <v>10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166"/>
      <c r="R22" s="170"/>
      <c r="S22" s="2"/>
      <c r="T22" s="2"/>
      <c r="U22" s="2"/>
      <c r="V22" s="2"/>
      <c r="W22" s="2"/>
      <c r="X22" s="2"/>
      <c r="Y22" s="2"/>
      <c r="Z22" s="2"/>
      <c r="AA22" s="2"/>
      <c r="AB22" s="154"/>
    </row>
    <row r="23" spans="1:28" ht="3" customHeight="1" thickBot="1">
      <c r="A23" s="153"/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166"/>
      <c r="R23" s="170"/>
      <c r="S23" s="2"/>
      <c r="T23" s="2"/>
      <c r="U23" s="2"/>
      <c r="V23" s="2"/>
      <c r="W23" s="2"/>
      <c r="X23" s="2"/>
      <c r="Y23" s="2"/>
      <c r="Z23" s="2"/>
      <c r="AA23" s="2"/>
      <c r="AB23" s="154"/>
    </row>
    <row r="24" spans="1:28" ht="42" customHeight="1" thickBot="1">
      <c r="A24" s="153"/>
      <c r="B24" s="30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166"/>
      <c r="R24" s="169"/>
      <c r="S24" s="37" t="s">
        <v>68</v>
      </c>
      <c r="T24" s="38" t="s">
        <v>28</v>
      </c>
      <c r="U24" s="38" t="s">
        <v>29</v>
      </c>
      <c r="V24" s="38" t="s">
        <v>32</v>
      </c>
      <c r="W24" s="38" t="s">
        <v>74</v>
      </c>
      <c r="X24" s="38" t="s">
        <v>0</v>
      </c>
      <c r="Y24" s="38" t="s">
        <v>75</v>
      </c>
      <c r="Z24" s="39" t="s">
        <v>76</v>
      </c>
      <c r="AA24" s="2"/>
      <c r="AB24" s="154"/>
    </row>
    <row r="25" spans="1:28" ht="3" customHeight="1" thickBot="1">
      <c r="A25" s="153"/>
      <c r="B25" s="30"/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6"/>
      <c r="R25" s="170"/>
      <c r="S25" s="30"/>
      <c r="T25" s="30"/>
      <c r="U25" s="30"/>
      <c r="V25" s="30"/>
      <c r="W25" s="30"/>
      <c r="X25" s="30"/>
      <c r="Y25" s="30"/>
      <c r="Z25" s="30"/>
      <c r="AA25" s="2"/>
      <c r="AB25" s="154"/>
    </row>
    <row r="26" spans="1:28" ht="21.75" customHeight="1" thickBot="1">
      <c r="A26" s="153"/>
      <c r="B26" s="27" t="s">
        <v>11</v>
      </c>
      <c r="C26" s="27" t="s">
        <v>80</v>
      </c>
      <c r="D26" s="28" t="s">
        <v>48</v>
      </c>
      <c r="E26" s="29" t="s">
        <v>54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166"/>
      <c r="R26" s="169"/>
      <c r="S26" s="83" t="s">
        <v>20</v>
      </c>
      <c r="T26" s="84" t="s">
        <v>30</v>
      </c>
      <c r="U26" s="85">
        <v>0.08</v>
      </c>
      <c r="V26" s="85">
        <v>10.5</v>
      </c>
      <c r="W26" s="86">
        <v>0.01</v>
      </c>
      <c r="X26" s="99">
        <f>$D$19*V26/(1-W26)</f>
        <v>25454.545454545456</v>
      </c>
      <c r="Y26" s="95">
        <v>26000</v>
      </c>
      <c r="Z26" s="102">
        <f>1-X26/Y26</f>
        <v>0.020979020979020935</v>
      </c>
      <c r="AA26" s="2"/>
      <c r="AB26" s="154"/>
    </row>
    <row r="27" spans="1:28" ht="18" customHeight="1">
      <c r="A27" s="153"/>
      <c r="B27" s="13" t="s">
        <v>2</v>
      </c>
      <c r="C27" s="16" t="s">
        <v>56</v>
      </c>
      <c r="D27" s="172">
        <v>0.1111111111111111</v>
      </c>
      <c r="E27" s="80">
        <v>4</v>
      </c>
      <c r="F27" s="3"/>
      <c r="G27" s="147">
        <f>D27*1440</f>
        <v>160</v>
      </c>
      <c r="H27" s="2"/>
      <c r="I27" s="2"/>
      <c r="J27" s="2"/>
      <c r="K27" s="2"/>
      <c r="L27" s="2"/>
      <c r="M27" s="2"/>
      <c r="N27" s="2"/>
      <c r="O27" s="2"/>
      <c r="P27" s="2"/>
      <c r="Q27" s="166"/>
      <c r="R27" s="169"/>
      <c r="S27" s="87" t="s">
        <v>21</v>
      </c>
      <c r="T27" s="88" t="s">
        <v>30</v>
      </c>
      <c r="U27" s="89">
        <v>1</v>
      </c>
      <c r="V27" s="89">
        <v>1</v>
      </c>
      <c r="W27" s="90">
        <v>0.01</v>
      </c>
      <c r="X27" s="100">
        <f aca="true" t="shared" si="1" ref="X27:X33">$D$19*V27/(1-W27)</f>
        <v>2424.2424242424245</v>
      </c>
      <c r="Y27" s="96">
        <v>2450</v>
      </c>
      <c r="Z27" s="103">
        <f aca="true" t="shared" si="2" ref="Z27:Z33">1-X27/Y27</f>
        <v>0.010513296227581792</v>
      </c>
      <c r="AA27" s="2"/>
      <c r="AB27" s="154"/>
    </row>
    <row r="28" spans="1:28" ht="18" customHeight="1">
      <c r="A28" s="153"/>
      <c r="B28" s="14" t="s">
        <v>6</v>
      </c>
      <c r="C28" s="17" t="s">
        <v>57</v>
      </c>
      <c r="D28" s="173">
        <v>0.041666666666666664</v>
      </c>
      <c r="E28" s="81">
        <v>1</v>
      </c>
      <c r="F28" s="3"/>
      <c r="G28" s="147">
        <f aca="true" t="shared" si="3" ref="G28:G33">D28*1440</f>
        <v>60</v>
      </c>
      <c r="H28" s="2"/>
      <c r="I28" s="2"/>
      <c r="J28" s="2"/>
      <c r="K28" s="2"/>
      <c r="L28" s="2"/>
      <c r="M28" s="2"/>
      <c r="N28" s="2"/>
      <c r="O28" s="2"/>
      <c r="P28" s="2"/>
      <c r="Q28" s="166"/>
      <c r="R28" s="169"/>
      <c r="S28" s="87" t="s">
        <v>22</v>
      </c>
      <c r="T28" s="88" t="s">
        <v>30</v>
      </c>
      <c r="U28" s="89">
        <v>0.25</v>
      </c>
      <c r="V28" s="89">
        <v>0.05</v>
      </c>
      <c r="W28" s="90">
        <v>0.02</v>
      </c>
      <c r="X28" s="100">
        <f t="shared" si="1"/>
        <v>122.44897959183673</v>
      </c>
      <c r="Y28" s="96">
        <v>123</v>
      </c>
      <c r="Z28" s="103">
        <f t="shared" si="2"/>
        <v>0.004479840716774541</v>
      </c>
      <c r="AA28" s="2"/>
      <c r="AB28" s="154"/>
    </row>
    <row r="29" spans="1:28" ht="18" customHeight="1">
      <c r="A29" s="153"/>
      <c r="B29" s="14" t="s">
        <v>7</v>
      </c>
      <c r="C29" s="17" t="s">
        <v>58</v>
      </c>
      <c r="D29" s="174">
        <f>D19*(1/E18-1/D18)/1440</f>
        <v>0.04166666666666666</v>
      </c>
      <c r="E29" s="144">
        <v>1</v>
      </c>
      <c r="F29" s="3"/>
      <c r="G29" s="147">
        <f t="shared" si="3"/>
        <v>59.999999999999986</v>
      </c>
      <c r="H29" s="2"/>
      <c r="I29" s="2"/>
      <c r="J29" s="2"/>
      <c r="K29" s="2"/>
      <c r="L29" s="2"/>
      <c r="M29" s="2"/>
      <c r="N29" s="2"/>
      <c r="O29" s="2"/>
      <c r="P29" s="2"/>
      <c r="Q29" s="166"/>
      <c r="R29" s="169"/>
      <c r="S29" s="87" t="s">
        <v>23</v>
      </c>
      <c r="T29" s="88" t="s">
        <v>30</v>
      </c>
      <c r="U29" s="89">
        <v>1</v>
      </c>
      <c r="V29" s="89">
        <v>0.05</v>
      </c>
      <c r="W29" s="90">
        <v>0.01</v>
      </c>
      <c r="X29" s="100">
        <f t="shared" si="1"/>
        <v>121.21212121212122</v>
      </c>
      <c r="Y29" s="96">
        <v>123</v>
      </c>
      <c r="Z29" s="103">
        <f t="shared" si="2"/>
        <v>0.014535599901453478</v>
      </c>
      <c r="AA29" s="2"/>
      <c r="AB29" s="154"/>
    </row>
    <row r="30" spans="1:28" ht="18" customHeight="1">
      <c r="A30" s="153"/>
      <c r="B30" s="14" t="s">
        <v>8</v>
      </c>
      <c r="C30" s="17" t="s">
        <v>59</v>
      </c>
      <c r="D30" s="173">
        <v>0.034722222222222224</v>
      </c>
      <c r="E30" s="81">
        <v>3</v>
      </c>
      <c r="F30" s="3"/>
      <c r="G30" s="147">
        <f t="shared" si="3"/>
        <v>50</v>
      </c>
      <c r="I30" s="30"/>
      <c r="J30" s="2"/>
      <c r="K30" s="2"/>
      <c r="L30" s="2"/>
      <c r="M30" s="2"/>
      <c r="N30" s="2"/>
      <c r="O30" s="2"/>
      <c r="P30" s="2"/>
      <c r="Q30" s="166"/>
      <c r="R30" s="169"/>
      <c r="S30" s="87" t="s">
        <v>24</v>
      </c>
      <c r="T30" s="88" t="s">
        <v>30</v>
      </c>
      <c r="U30" s="89">
        <v>2</v>
      </c>
      <c r="V30" s="89">
        <v>0.4</v>
      </c>
      <c r="W30" s="90">
        <v>0.01</v>
      </c>
      <c r="X30" s="100">
        <f t="shared" si="1"/>
        <v>969.6969696969697</v>
      </c>
      <c r="Y30" s="96">
        <v>1000</v>
      </c>
      <c r="Z30" s="103">
        <f t="shared" si="2"/>
        <v>0.030303030303030276</v>
      </c>
      <c r="AA30" s="2"/>
      <c r="AB30" s="154"/>
    </row>
    <row r="31" spans="1:28" ht="18" customHeight="1">
      <c r="A31" s="153"/>
      <c r="B31" s="14" t="s">
        <v>9</v>
      </c>
      <c r="C31" s="17" t="s">
        <v>60</v>
      </c>
      <c r="D31" s="173">
        <v>0.013888888888888888</v>
      </c>
      <c r="E31" s="81">
        <v>1</v>
      </c>
      <c r="F31" s="3"/>
      <c r="G31" s="147">
        <f t="shared" si="3"/>
        <v>20</v>
      </c>
      <c r="I31" s="2"/>
      <c r="J31" s="2"/>
      <c r="K31" s="2"/>
      <c r="L31" s="2"/>
      <c r="M31" s="2"/>
      <c r="N31" s="2"/>
      <c r="O31" s="2"/>
      <c r="P31" s="2"/>
      <c r="Q31" s="166"/>
      <c r="R31" s="169"/>
      <c r="S31" s="87" t="s">
        <v>25</v>
      </c>
      <c r="T31" s="88" t="s">
        <v>31</v>
      </c>
      <c r="U31" s="89">
        <v>0.0034</v>
      </c>
      <c r="V31" s="89">
        <v>1</v>
      </c>
      <c r="W31" s="90">
        <v>0.01</v>
      </c>
      <c r="X31" s="100">
        <f t="shared" si="1"/>
        <v>2424.2424242424245</v>
      </c>
      <c r="Y31" s="96">
        <v>2440</v>
      </c>
      <c r="Z31" s="103">
        <f t="shared" si="2"/>
        <v>0.00645802285146535</v>
      </c>
      <c r="AA31" s="2"/>
      <c r="AB31" s="154"/>
    </row>
    <row r="32" spans="1:28" ht="18" customHeight="1" thickBot="1">
      <c r="A32" s="153"/>
      <c r="B32" s="15" t="s">
        <v>10</v>
      </c>
      <c r="C32" s="18" t="s">
        <v>61</v>
      </c>
      <c r="D32" s="175">
        <f>(SUM(E20:E21)/D18)/1440</f>
        <v>0.020833333333333332</v>
      </c>
      <c r="E32" s="145">
        <v>1</v>
      </c>
      <c r="F32" s="3"/>
      <c r="G32" s="147">
        <f t="shared" si="3"/>
        <v>30</v>
      </c>
      <c r="H32" s="2"/>
      <c r="I32" s="2"/>
      <c r="J32" s="2"/>
      <c r="K32" s="2"/>
      <c r="L32" s="2"/>
      <c r="M32" s="2"/>
      <c r="N32" s="2"/>
      <c r="O32" s="2"/>
      <c r="P32" s="2"/>
      <c r="Q32" s="166"/>
      <c r="R32" s="169"/>
      <c r="S32" s="87" t="s">
        <v>26</v>
      </c>
      <c r="T32" s="88" t="s">
        <v>31</v>
      </c>
      <c r="U32" s="89">
        <v>0.02</v>
      </c>
      <c r="V32" s="89">
        <v>1</v>
      </c>
      <c r="W32" s="90">
        <v>0.01</v>
      </c>
      <c r="X32" s="100">
        <f t="shared" si="1"/>
        <v>2424.2424242424245</v>
      </c>
      <c r="Y32" s="96">
        <v>2480</v>
      </c>
      <c r="Z32" s="103">
        <f t="shared" si="2"/>
        <v>0.022482893450635255</v>
      </c>
      <c r="AA32" s="2"/>
      <c r="AB32" s="154"/>
    </row>
    <row r="33" spans="1:28" ht="18" customHeight="1" thickBot="1">
      <c r="A33" s="153"/>
      <c r="B33" s="19"/>
      <c r="C33" s="20" t="s">
        <v>62</v>
      </c>
      <c r="D33" s="146">
        <f>SUM(D27:D32)</f>
        <v>0.26388888888888884</v>
      </c>
      <c r="E33" s="21"/>
      <c r="F33" s="30"/>
      <c r="G33" s="157">
        <f t="shared" si="3"/>
        <v>379.99999999999994</v>
      </c>
      <c r="H33" s="158"/>
      <c r="I33" s="158"/>
      <c r="J33" s="2"/>
      <c r="K33" s="2"/>
      <c r="L33" s="2"/>
      <c r="M33" s="2"/>
      <c r="N33" s="2"/>
      <c r="O33" s="2"/>
      <c r="P33" s="2"/>
      <c r="Q33" s="166"/>
      <c r="R33" s="169"/>
      <c r="S33" s="91" t="s">
        <v>27</v>
      </c>
      <c r="T33" s="92" t="s">
        <v>31</v>
      </c>
      <c r="U33" s="93">
        <v>0.35</v>
      </c>
      <c r="V33" s="93">
        <v>1</v>
      </c>
      <c r="W33" s="94">
        <v>0.01</v>
      </c>
      <c r="X33" s="101">
        <f t="shared" si="1"/>
        <v>2424.2424242424245</v>
      </c>
      <c r="Y33" s="97">
        <v>2470</v>
      </c>
      <c r="Z33" s="104">
        <f t="shared" si="2"/>
        <v>0.01852533431480785</v>
      </c>
      <c r="AA33" s="2"/>
      <c r="AB33" s="154"/>
    </row>
    <row r="34" spans="1:28" ht="3" customHeight="1" thickBot="1">
      <c r="A34" s="153"/>
      <c r="B34" s="2"/>
      <c r="C34" s="2"/>
      <c r="D34" s="2"/>
      <c r="E34" s="2"/>
      <c r="F34" s="2"/>
      <c r="G34" s="2"/>
      <c r="H34" s="2"/>
      <c r="I34" s="158"/>
      <c r="J34" s="2"/>
      <c r="K34" s="2"/>
      <c r="L34" s="2"/>
      <c r="M34" s="2"/>
      <c r="N34" s="2"/>
      <c r="O34" s="2"/>
      <c r="P34" s="2"/>
      <c r="Q34" s="166"/>
      <c r="R34" s="169"/>
      <c r="S34" s="2"/>
      <c r="T34" s="2"/>
      <c r="U34" s="2"/>
      <c r="V34" s="2"/>
      <c r="W34" s="2"/>
      <c r="X34" s="2"/>
      <c r="Y34" s="2"/>
      <c r="Z34" s="2"/>
      <c r="AA34" s="2"/>
      <c r="AB34" s="154"/>
    </row>
    <row r="35" spans="1:28" ht="18" customHeight="1" thickBot="1">
      <c r="A35" s="153"/>
      <c r="B35" s="158"/>
      <c r="C35" s="186" t="s">
        <v>81</v>
      </c>
      <c r="D35" s="158"/>
      <c r="E35" s="158"/>
      <c r="F35" s="158"/>
      <c r="G35" s="187">
        <f>ROUND(((E17-SUM(G19/1440,D27:D32))*1440),0)</f>
        <v>20</v>
      </c>
      <c r="H35" s="158"/>
      <c r="I35" s="158"/>
      <c r="J35" s="2"/>
      <c r="K35" s="2"/>
      <c r="L35" s="2"/>
      <c r="M35" s="2"/>
      <c r="N35" s="2"/>
      <c r="O35" s="2"/>
      <c r="P35" s="2"/>
      <c r="Q35" s="166"/>
      <c r="R35" s="169"/>
      <c r="S35" s="63"/>
      <c r="T35" s="64"/>
      <c r="U35" s="65" t="s">
        <v>16</v>
      </c>
      <c r="V35" s="98">
        <f>SUMPRODUCT(V26:V33*$U$26:$U$33)</f>
        <v>3.0759</v>
      </c>
      <c r="W35" s="2"/>
      <c r="X35" s="98">
        <f>SUMPRODUCT(X26:X33*$U$26:$U$33)/D19</f>
        <v>3.10709853638425</v>
      </c>
      <c r="Y35" s="98">
        <f>SUMPRODUCT(Y26:Y33*$U$26:$U$33)/E19</f>
        <v>3.457339090909091</v>
      </c>
      <c r="Z35" s="2"/>
      <c r="AA35" s="2"/>
      <c r="AB35" s="154"/>
    </row>
    <row r="36" spans="1:28" ht="18" customHeight="1" thickBot="1">
      <c r="A36" s="153"/>
      <c r="B36" s="158"/>
      <c r="C36" s="158"/>
      <c r="D36" s="158"/>
      <c r="E36" s="158"/>
      <c r="F36" s="158"/>
      <c r="G36" s="158"/>
      <c r="H36" s="158"/>
      <c r="I36" s="158"/>
      <c r="J36" s="2"/>
      <c r="K36" s="2"/>
      <c r="L36" s="2"/>
      <c r="M36" s="2"/>
      <c r="N36" s="2"/>
      <c r="O36" s="2"/>
      <c r="P36" s="2"/>
      <c r="Q36" s="166"/>
      <c r="R36" s="169"/>
      <c r="S36" s="19"/>
      <c r="T36" s="55"/>
      <c r="U36" s="183" t="s">
        <v>77</v>
      </c>
      <c r="V36" s="30"/>
      <c r="W36" s="2"/>
      <c r="X36" s="177">
        <f>V35/X35</f>
        <v>0.9899589485113156</v>
      </c>
      <c r="Y36" s="177">
        <f>V35/Y35</f>
        <v>0.8896726410458068</v>
      </c>
      <c r="Z36" s="2"/>
      <c r="AA36" s="2"/>
      <c r="AB36" s="154"/>
    </row>
    <row r="37" spans="1:28" ht="13.5" thickBot="1">
      <c r="A37" s="159" t="str">
        <f ca="1">CONCATENATE("Printdate: ",TEXT(NOW(),"dd/mm/yy"))</f>
        <v>Printdate: 27/07/10</v>
      </c>
      <c r="B37" s="160"/>
      <c r="C37" s="160"/>
      <c r="D37" s="160"/>
      <c r="E37" s="160"/>
      <c r="F37" s="160"/>
      <c r="G37" s="160"/>
      <c r="H37" s="160"/>
      <c r="I37" s="160"/>
      <c r="J37" s="161"/>
      <c r="K37" s="161"/>
      <c r="L37" s="161"/>
      <c r="M37" s="161"/>
      <c r="N37" s="161"/>
      <c r="O37" s="161"/>
      <c r="P37" s="161"/>
      <c r="Q37" s="167"/>
      <c r="R37" s="171"/>
      <c r="S37" s="162"/>
      <c r="T37" s="162"/>
      <c r="U37" s="162"/>
      <c r="V37" s="162"/>
      <c r="W37" s="163"/>
      <c r="X37" s="163"/>
      <c r="Y37" s="163"/>
      <c r="Z37" s="163"/>
      <c r="AA37" s="163"/>
      <c r="AB37" s="164"/>
    </row>
    <row r="38" ht="13.5" thickTop="1"/>
  </sheetData>
  <sheetProtection password="CC17" sheet="1" objects="1" scenarios="1"/>
  <mergeCells count="9">
    <mergeCell ref="D2:P3"/>
    <mergeCell ref="M8:P8"/>
    <mergeCell ref="J8:K8"/>
    <mergeCell ref="J10:P10"/>
    <mergeCell ref="D8:G8"/>
    <mergeCell ref="Y20:Z20"/>
    <mergeCell ref="S3:T3"/>
    <mergeCell ref="Y19:Z19"/>
    <mergeCell ref="S8:AA8"/>
  </mergeCells>
  <hyperlinks>
    <hyperlink ref="M8" r:id="rId1" display="Neem contact op voor een afspraak"/>
    <hyperlink ref="M8:P8" r:id="rId2" display="Terug naar website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2" horizontalDpi="600" verticalDpi="600" orientation="landscape" paperSize="9" scale="73" r:id="rId7"/>
  <headerFooter alignWithMargins="0">
    <oddHeader>&amp;R&amp;G</oddHeader>
    <oddFooter>&amp;CPage &amp;P of &amp;N</oddFooter>
  </headerFooter>
  <colBreaks count="1" manualBreakCount="1">
    <brk id="17" max="34" man="1"/>
  </col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EBIT-Plus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OEE-Plus Potentieel Calculatie</dc:title>
  <dc:subject>OEE+</dc:subject>
  <dc:creator>Eric Mooiweer</dc:creator>
  <cp:keywords/>
  <dc:description/>
  <cp:lastModifiedBy> Eric Mooiweer</cp:lastModifiedBy>
  <cp:lastPrinted>2010-03-03T10:19:05Z</cp:lastPrinted>
  <dcterms:created xsi:type="dcterms:W3CDTF">2008-04-07T21:52:57Z</dcterms:created>
  <dcterms:modified xsi:type="dcterms:W3CDTF">2010-07-27T03:51:00Z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